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drawings/drawing82.xml" ContentType="application/vnd.openxmlformats-officedocument.drawing+xml"/>
  <Override PartName="/xl/drawings/drawing81.xml" ContentType="application/vnd.openxmlformats-officedocument.drawing+xml"/>
  <Override PartName="/xl/drawings/drawing80.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76.xml" ContentType="application/vnd.openxmlformats-officedocument.drawing+xml"/>
  <Override PartName="/xl/drawings/drawing75.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14.xml" ContentType="application/vnd.openxmlformats-officedocument.drawingml.chart+xml"/>
  <Override PartName="/xl/drawings/drawing90.xml" ContentType="application/vnd.openxmlformats-officedocument.drawing+xml"/>
  <Override PartName="/xl/drawings/drawing89.xml" ContentType="application/vnd.openxmlformats-officedocument.drawing+xml"/>
  <Override PartName="/xl/drawings/drawing88.xml" ContentType="application/vnd.openxmlformats-officedocument.drawing+xml"/>
  <Override PartName="/xl/drawings/drawing87.xml" ContentType="application/vnd.openxmlformats-officedocument.drawing+xml"/>
  <Override PartName="/xl/drawings/drawing86.xml" ContentType="application/vnd.openxmlformats-officedocument.drawing+xml"/>
  <Override PartName="/xl/charts/chart13.xml" ContentType="application/vnd.openxmlformats-officedocument.drawingml.chart+xml"/>
  <Override PartName="/xl/drawings/drawing74.xml" ContentType="application/vnd.openxmlformats-officedocument.drawing+xml"/>
  <Override PartName="/xl/drawings/drawing73.xml" ContentType="application/vnd.openxmlformats-officedocument.drawing+xml"/>
  <Override PartName="/xl/drawings/drawing72.xml" ContentType="application/vnd.openxmlformats-officedocument.drawing+xml"/>
  <Override PartName="/xl/drawings/drawing61.xml" ContentType="application/vnd.openxmlformats-officedocument.drawing+xml"/>
  <Override PartName="/xl/drawings/drawing60.xml" ContentType="application/vnd.openxmlformats-officedocument.drawing+xml"/>
  <Override PartName="/xl/drawings/drawing59.xml" ContentType="application/vnd.openxmlformats-officedocument.drawing+xml"/>
  <Override PartName="/xl/charts/chart12.xml" ContentType="application/vnd.openxmlformats-officedocument.drawingml.chart+xml"/>
  <Override PartName="/xl/drawings/drawing58.xml" ContentType="application/vnd.openxmlformats-officedocument.drawing+xml"/>
  <Override PartName="/xl/charts/chart11.xml" ContentType="application/vnd.openxmlformats-officedocument.drawingml.chart+xml"/>
  <Override PartName="/xl/drawings/drawing57.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65.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114.xml" ContentType="application/vnd.openxmlformats-officedocument.drawing+xml"/>
  <Override PartName="/xl/drawings/drawing113.xml" ContentType="application/vnd.openxmlformats-officedocument.drawing+xml"/>
  <Override PartName="/xl/drawings/drawing112.xml" ContentType="application/vnd.openxmlformats-officedocument.drawing+xml"/>
  <Override PartName="/xl/drawings/drawing111.xml" ContentType="application/vnd.openxmlformats-officedocument.drawing+xml"/>
  <Override PartName="/xl/drawings/drawing110.xml" ContentType="application/vnd.openxmlformats-officedocument.drawing+xml"/>
  <Override PartName="/xl/charts/chart21.xml" ContentType="application/vnd.openxmlformats-officedocument.drawingml.chart+xml"/>
  <Override PartName="/xl/drawings/drawing109.xml" ContentType="application/vnd.openxmlformats-officedocument.drawing+xml"/>
  <Override PartName="/xl/drawings/drawing108.xml" ContentType="application/vnd.openxmlformats-officedocument.drawing+xml"/>
  <Override PartName="/xl/charts/chart22.xml" ContentType="application/vnd.openxmlformats-officedocument.drawingml.chart+xml"/>
  <Override PartName="/xl/drawings/drawing115.xml" ContentType="application/vnd.openxmlformats-officedocument.drawing+xml"/>
  <Override PartName="/xl/drawings/drawing11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20.xml" ContentType="application/vnd.openxmlformats-officedocument.drawing+xml"/>
  <Override PartName="/xl/drawings/drawing119.xml" ContentType="application/vnd.openxmlformats-officedocument.drawing+xml"/>
  <Override PartName="/xl/drawings/drawing118.xml" ContentType="application/vnd.openxmlformats-officedocument.drawing+xml"/>
  <Override PartName="/xl/drawings/drawing117.xml" ContentType="application/vnd.openxmlformats-officedocument.drawing+xml"/>
  <Override PartName="/xl/charts/chart20.xml" ContentType="application/vnd.openxmlformats-officedocument.drawingml.chart+xml"/>
  <Override PartName="/xl/drawings/drawing107.xml" ContentType="application/vnd.openxmlformats-officedocument.drawing+xml"/>
  <Override PartName="/xl/drawings/drawing106.xml" ContentType="application/vnd.openxmlformats-officedocument.drawing+xml"/>
  <Override PartName="/xl/drawings/drawing99.xml" ContentType="application/vnd.openxmlformats-officedocument.drawing+xml"/>
  <Override PartName="/xl/drawings/drawing98.xml" ContentType="application/vnd.openxmlformats-officedocument.drawing+xml"/>
  <Override PartName="/xl/charts/chart15.xml" ContentType="application/vnd.openxmlformats-officedocument.drawingml.chart+xml"/>
  <Override PartName="/xl/drawings/drawing97.xml" ContentType="application/vnd.openxmlformats-officedocument.drawing+xml"/>
  <Override PartName="/xl/drawings/drawing96.xml" ContentType="application/vnd.openxmlformats-officedocument.drawing+xml"/>
  <Override PartName="/xl/drawings/drawing95.xml" ContentType="application/vnd.openxmlformats-officedocument.drawing+xml"/>
  <Override PartName="/xl/drawings/drawing94.xml" ContentType="application/vnd.openxmlformats-officedocument.drawing+xml"/>
  <Override PartName="/xl/charts/chart16.xml" ContentType="application/vnd.openxmlformats-officedocument.drawingml.chart+xml"/>
  <Override PartName="/xl/drawings/drawing100.xml" ContentType="application/vnd.openxmlformats-officedocument.drawing+xml"/>
  <Override PartName="/xl/drawings/drawing101.xml" ContentType="application/vnd.openxmlformats-officedocument.drawing+xml"/>
  <Override PartName="/xl/charts/chart19.xml" ContentType="application/vnd.openxmlformats-officedocument.drawingml.chart+xml"/>
  <Override PartName="/xl/drawings/drawing105.xml" ContentType="application/vnd.openxmlformats-officedocument.drawing+xml"/>
  <Override PartName="/xl/drawings/drawing104.xml" ContentType="application/vnd.openxmlformats-officedocument.drawing+xml"/>
  <Override PartName="/xl/charts/chart18.xml" ContentType="application/vnd.openxmlformats-officedocument.drawingml.chart+xml"/>
  <Override PartName="/xl/drawings/drawing103.xml" ContentType="application/vnd.openxmlformats-officedocument.drawing+xml"/>
  <Override PartName="/xl/drawings/drawing102.xml" ContentType="application/vnd.openxmlformats-officedocument.drawing+xml"/>
  <Override PartName="/xl/charts/chart17.xml" ContentType="application/vnd.openxmlformats-officedocument.drawingml.chart+xml"/>
  <Override PartName="/xl/drawings/drawing56.xml" ContentType="application/vnd.openxmlformats-officedocument.drawing+xml"/>
  <Override PartName="/xl/worksheets/sheet1.xml" ContentType="application/vnd.openxmlformats-officedocument.spreadsheetml.worksheet+xml"/>
  <Override PartName="/xl/charts/chart10.xml" ContentType="application/vnd.openxmlformats-officedocument.drawingml.chart+xml"/>
  <Override PartName="/xl/worksheets/sheet99.xml" ContentType="application/vnd.openxmlformats-officedocument.spreadsheetml.worksheet+xml"/>
  <Override PartName="/xl/charts/chart6.xml" ContentType="application/vnd.openxmlformats-officedocument.drawingml.chart+xml"/>
  <Override PartName="/xl/drawings/drawing38.xml" ContentType="application/vnd.openxmlformats-officedocument.drawing+xml"/>
  <Override PartName="/xl/worksheets/sheet100.xml" ContentType="application/vnd.openxmlformats-officedocument.spreadsheetml.worksheet+xml"/>
  <Override PartName="/xl/worksheets/sheet101.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drawings/drawing39.xml" ContentType="application/vnd.openxmlformats-officedocument.drawing+xml"/>
  <Override PartName="/xl/worksheets/sheet93.xml" ContentType="application/vnd.openxmlformats-officedocument.spreadsheetml.worksheet+xml"/>
  <Override PartName="/xl/drawings/drawing40.xml" ContentType="application/vnd.openxmlformats-officedocument.drawing+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drawings/drawing37.xml" ContentType="application/vnd.openxmlformats-officedocument.drawing+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09.xml" ContentType="application/vnd.openxmlformats-officedocument.spreadsheetml.worksheet+xml"/>
  <Override PartName="/xl/drawings/drawing36.xml" ContentType="application/vnd.openxmlformats-officedocument.drawing+xml"/>
  <Override PartName="/xl/worksheets/sheet108.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drawings/drawing44.xml" ContentType="application/vnd.openxmlformats-officedocument.drawing+xml"/>
  <Override PartName="/xl/worksheets/sheet69.xml" ContentType="application/vnd.openxmlformats-officedocument.spreadsheetml.worksheet+xml"/>
  <Override PartName="/xl/drawings/drawing43.xml" ContentType="application/vnd.openxmlformats-officedocument.drawing+xml"/>
  <Override PartName="/xl/worksheets/sheet78.xml" ContentType="application/vnd.openxmlformats-officedocument.spreadsheetml.worksheet+xml"/>
  <Override PartName="/xl/worksheets/sheet79.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drawings/drawing41.xml" ContentType="application/vnd.openxmlformats-officedocument.drawing+xml"/>
  <Override PartName="/xl/worksheets/sheet89.xml" ContentType="application/vnd.openxmlformats-officedocument.spreadsheetml.worksheet+xml"/>
  <Override PartName="/xl/worksheets/sheet85.xml" ContentType="application/vnd.openxmlformats-officedocument.spreadsheetml.worksheet+xml"/>
  <Override PartName="/xl/worksheets/sheet83.xml" ContentType="application/vnd.openxmlformats-officedocument.spreadsheetml.worksheet+xml"/>
  <Override PartName="/xl/drawings/drawing42.xml" ContentType="application/vnd.openxmlformats-officedocument.drawing+xml"/>
  <Override PartName="/xl/worksheets/sheet80.xml" ContentType="application/vnd.openxmlformats-officedocument.spreadsheetml.worksheet+xml"/>
  <Override PartName="/xl/charts/chart7.xml" ContentType="application/vnd.openxmlformats-officedocument.drawingml.chart+xml"/>
  <Override PartName="/xl/worksheets/sheet81.xml" ContentType="application/vnd.openxmlformats-officedocument.spreadsheetml.worksheet+xml"/>
  <Override PartName="/xl/worksheets/sheet82.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drawings/drawing24.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23.xml" ContentType="application/vnd.openxmlformats-officedocument.drawing+xml"/>
  <Override PartName="/xl/charts/chart3.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25.xml" ContentType="application/vnd.openxmlformats-officedocument.drawing+xml"/>
  <Override PartName="/xl/charts/chart1.xml" ContentType="application/vnd.openxmlformats-officedocument.drawingml.chart+xml"/>
  <Override PartName="/xl/drawings/drawing27.xml" ContentType="application/vnd.openxmlformats-officedocument.drawing+xml"/>
  <Override PartName="/xl/drawings/drawing6.xml" ContentType="application/vnd.openxmlformats-officedocument.drawing+xml"/>
  <Override PartName="/xl/drawings/drawing26.xml" ContentType="application/vnd.openxmlformats-officedocument.drawing+xml"/>
  <Override PartName="/xl/drawings/drawing7.xml" ContentType="application/vnd.openxmlformats-officedocument.drawing+xml"/>
  <Override PartName="/xl/drawings/drawing11.xml" ContentType="application/vnd.openxmlformats-officedocument.drawing+xml"/>
  <Override PartName="/xl/drawings/drawing22.xml" ContentType="application/vnd.openxmlformats-officedocument.drawing+xml"/>
  <Override PartName="/xl/drawings/drawing12.xml" ContentType="application/vnd.openxmlformats-officedocument.drawing+xml"/>
  <Override PartName="/xl/drawings/drawing15.xml" ContentType="application/vnd.openxmlformats-officedocument.drawing+xml"/>
  <Override PartName="/xl/drawings/drawing18.xml" ContentType="application/vnd.openxmlformats-officedocument.drawing+xml"/>
  <Override PartName="/xl/charts/chart5.xml" ContentType="application/vnd.openxmlformats-officedocument.drawingml.chart+xml"/>
  <Override PartName="/xl/drawings/drawing17.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drawings/drawing14.xml" ContentType="application/vnd.openxmlformats-officedocument.drawing+xml"/>
  <Override PartName="/xl/charts/chart4.xml" ContentType="application/vnd.openxmlformats-officedocument.drawingml.chart+xml"/>
  <Override PartName="/xl/drawings/drawing21.xml" ContentType="application/vnd.openxmlformats-officedocument.drawing+xml"/>
  <Override PartName="/xl/drawings/drawing13.xml" ContentType="application/vnd.openxmlformats-officedocument.drawing+xml"/>
  <Override PartName="/xl/drawings/drawing20.xml" ContentType="application/vnd.openxmlformats-officedocument.drawing+xml"/>
  <Override PartName="/xl/drawings/drawing5.xml" ContentType="application/vnd.openxmlformats-officedocument.drawing+xml"/>
  <Override PartName="/xl/drawings/drawing28.xml" ContentType="application/vnd.openxmlformats-officedocument.drawing+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theme/theme1.xml" ContentType="application/vnd.openxmlformats-officedocument.theme+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18.xml" ContentType="application/vnd.openxmlformats-officedocument.spreadsheetml.worksheet+xml"/>
  <Override PartName="/xl/drawings/drawing35.xml" ContentType="application/vnd.openxmlformats-officedocument.drawing+xml"/>
  <Override PartName="/xl/worksheets/sheet119.xml" ContentType="application/vnd.openxmlformats-officedocument.spreadsheetml.worksheet+xml"/>
  <Override PartName="/xl/worksheets/sheet120.xml" ContentType="application/vnd.openxmlformats-officedocument.spreadsheetml.worksheet+xml"/>
  <Override PartName="/xl/styles.xml" ContentType="application/vnd.openxmlformats-officedocument.spreadsheetml.styles+xml"/>
  <Override PartName="/xl/drawings/drawing34.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drawings/drawing30.xml" ContentType="application/vnd.openxmlformats-officedocument.drawing+xml"/>
  <Override PartName="/xl/drawings/drawing4.xml" ContentType="application/vnd.openxmlformats-officedocument.drawing+xml"/>
  <Override PartName="/xl/drawings/drawing29.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1.xml" ContentType="application/vnd.openxmlformats-officedocument.drawing+xml"/>
  <Override PartName="/xl/drawings/drawing33.xml" ContentType="application/vnd.openxmlformats-officedocument.drawing+xml"/>
  <Override PartName="/xl/drawings/drawing2.xml" ContentType="application/vnd.openxmlformats-officedocument.drawing+xml"/>
  <Override PartName="/xl/worksheets/sheet65.xml" ContentType="application/vnd.openxmlformats-officedocument.spreadsheetml.worksheet+xml"/>
  <Override PartName="/xl/worksheets/sheet84.xml" ContentType="application/vnd.openxmlformats-officedocument.spreadsheetml.worksheet+xml"/>
  <Override PartName="/xl/worksheets/sheet64.xml" ContentType="application/vnd.openxmlformats-officedocument.spreadsheetml.worksheet+xml"/>
  <Override PartName="/xl/worksheets/sheet45.xml" ContentType="application/vnd.openxmlformats-officedocument.spreadsheetml.worksheet+xml"/>
  <Override PartName="/xl/worksheets/sheet20.xml" ContentType="application/vnd.openxmlformats-officedocument.spreadsheetml.worksheet+xml"/>
  <Override PartName="/xl/drawings/drawing52.xml" ContentType="application/vnd.openxmlformats-officedocument.drawing+xml"/>
  <Override PartName="/xl/worksheets/sheet44.xml" ContentType="application/vnd.openxmlformats-officedocument.spreadsheetml.worksheet+xml"/>
  <Override PartName="/xl/worksheets/sheet43.xml" ContentType="application/vnd.openxmlformats-officedocument.spreadsheetml.worksheet+xml"/>
  <Override PartName="/xl/worksheets/sheet21.xml" ContentType="application/vnd.openxmlformats-officedocument.spreadsheetml.worksheet+xml"/>
  <Override PartName="/xl/worksheets/sheet42.xml" ContentType="application/vnd.openxmlformats-officedocument.spreadsheetml.worksheet+xml"/>
  <Override PartName="/xl/worksheets/sheet22.xml" ContentType="application/vnd.openxmlformats-officedocument.spreadsheetml.worksheet+xml"/>
  <Override PartName="/xl/worksheets/sheet41.xml" ContentType="application/vnd.openxmlformats-officedocument.spreadsheetml.worksheet+xml"/>
  <Override PartName="/xl/worksheets/sheet19.xml" ContentType="application/vnd.openxmlformats-officedocument.spreadsheetml.worksheet+xml"/>
  <Override PartName="/xl/worksheets/sheet46.xml" ContentType="application/vnd.openxmlformats-officedocument.spreadsheetml.worksheet+xml"/>
  <Override PartName="/xl/worksheets/sheet18.xml" ContentType="application/vnd.openxmlformats-officedocument.spreadsheetml.worksheet+xml"/>
  <Override PartName="/xl/worksheets/sheet15.xml" ContentType="application/vnd.openxmlformats-officedocument.spreadsheetml.worksheet+xml"/>
  <Override PartName="/xl/drawings/drawing53.xml" ContentType="application/vnd.openxmlformats-officedocument.drawing+xml"/>
  <Override PartName="/xl/worksheets/sheet16.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drawings/drawing47.xml" ContentType="application/vnd.openxmlformats-officedocument.drawing+xml"/>
  <Override PartName="/xl/worksheets/sheet17.xml" ContentType="application/vnd.openxmlformats-officedocument.spreadsheetml.worksheet+xml"/>
  <Override PartName="/xl/worksheets/sheet47.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48.xml" ContentType="application/vnd.openxmlformats-officedocument.drawing+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drawings/drawing50.xml" ContentType="application/vnd.openxmlformats-officedocument.drawing+xml"/>
  <Override PartName="/xl/worksheets/sheet30.xml" ContentType="application/vnd.openxmlformats-officedocument.spreadsheetml.worksheet+xml"/>
  <Override PartName="/xl/drawings/drawing51.xml" ContentType="application/vnd.openxmlformats-officedocument.drawing+xml"/>
  <Override PartName="/xl/worksheets/sheet27.xml" ContentType="application/vnd.openxmlformats-officedocument.spreadsheetml.worksheet+xml"/>
  <Override PartName="/xl/worksheets/sheet29.xml" ContentType="application/vnd.openxmlformats-officedocument.spreadsheetml.worksheet+xml"/>
  <Override PartName="/xl/worksheets/sheet26.xml" ContentType="application/vnd.openxmlformats-officedocument.spreadsheetml.worksheet+xml"/>
  <Override PartName="/xl/drawings/drawing49.xml" ContentType="application/vnd.openxmlformats-officedocument.drawing+xml"/>
  <Override PartName="/xl/worksheets/sheet3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charts/chart8.xml" ContentType="application/vnd.openxmlformats-officedocument.drawingml.chart+xml"/>
  <Override PartName="/xl/worksheets/sheet38.xml" ContentType="application/vnd.openxmlformats-officedocument.spreadsheetml.worksheet+xml"/>
  <Override PartName="/xl/worksheets/sheet37.xml" ContentType="application/vnd.openxmlformats-officedocument.spreadsheetml.worksheet+xml"/>
  <Override PartName="/xl/charts/chart9.xml" ContentType="application/vnd.openxmlformats-officedocument.drawingml.chart+xml"/>
  <Override PartName="/xl/worksheets/sheet36.xml" ContentType="application/vnd.openxmlformats-officedocument.spreadsheetml.worksheet+xml"/>
  <Override PartName="/xl/worksheets/sheet25.xml" ContentType="application/vnd.openxmlformats-officedocument.spreadsheetml.worksheet+xml"/>
  <Override PartName="/xl/worksheets/sheet50.xml" ContentType="application/vnd.openxmlformats-officedocument.spreadsheetml.worksheet+xml"/>
  <Override PartName="/xl/worksheets/sheet28.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58.xml" ContentType="application/vnd.openxmlformats-officedocument.spreadsheetml.worksheet+xml"/>
  <Override PartName="/xl/drawings/drawing55.xml" ContentType="application/vnd.openxmlformats-officedocument.drawing+xml"/>
  <Override PartName="/xl/worksheets/sheet60.xml" ContentType="application/vnd.openxmlformats-officedocument.spreadsheetml.worksheet+xml"/>
  <Override PartName="/xl/drawings/drawing45.xml" ContentType="application/vnd.openxmlformats-officedocument.drawing+xml"/>
  <Override PartName="/xl/worksheets/sheet54.xml" ContentType="application/vnd.openxmlformats-officedocument.spreadsheetml.worksheet+xml"/>
  <Override PartName="/xl/worksheets/sheet11.xml" ContentType="application/vnd.openxmlformats-officedocument.spreadsheetml.worksheet+xml"/>
  <Override PartName="/xl/worksheets/sheet55.xml" ContentType="application/vnd.openxmlformats-officedocument.spreadsheetml.worksheet+xml"/>
  <Override PartName="/xl/worksheets/sheet61.xml" ContentType="application/vnd.openxmlformats-officedocument.spreadsheetml.worksheet+xml"/>
  <Override PartName="/xl/drawings/drawing54.xml" ContentType="application/vnd.openxmlformats-officedocument.drawing+xml"/>
  <Override PartName="/xl/worksheets/sheet56.xml" ContentType="application/vnd.openxmlformats-officedocument.spreadsheetml.worksheet+xml"/>
  <Override PartName="/xl/worksheets/sheet59.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57.xml" ContentType="application/vnd.openxmlformats-officedocument.spreadsheetml.worksheet+xml"/>
  <Override PartName="/xl/worksheets/sheet51.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52.xml" ContentType="application/vnd.openxmlformats-officedocument.spreadsheetml.worksheet+xml"/>
  <Override PartName="/xl/drawings/drawing46.xml" ContentType="application/vnd.openxmlformats-officedocument.drawing+xml"/>
  <Override PartName="/xl/worksheets/sheet53.xml" ContentType="application/vnd.openxmlformats-officedocument.spreadsheetml.worksheet+xml"/>
  <Override PartName="/xl/worksheets/sheet13.xml" ContentType="application/vnd.openxmlformats-officedocument.spreadsheetml.worksheet+xml"/>
  <Override PartName="/xl/worksheets/sheet63.xml" ContentType="application/vnd.openxmlformats-officedocument.spreadsheetml.worksheet+xml"/>
  <Override PartName="/xl/worksheets/sheet7.xml" ContentType="application/vnd.openxmlformats-officedocument.spreadsheetml.worksheet+xml"/>
  <Override PartName="/xl/tables/table3.xml" ContentType="application/vnd.openxmlformats-officedocument.spreadsheetml.table+xml"/>
  <Override PartName="/xl/queryTables/queryTable3.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1.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connections.xml" ContentType="application/vnd.openxmlformats-officedocument.spreadsheetml.connections+xml"/>
  <Override PartName="/xl/tables/table9.xml" ContentType="application/vnd.openxmlformats-officedocument.spreadsheetml.table+xml"/>
  <Override PartName="/xl/queryTables/queryTable57.xml" ContentType="application/vnd.openxmlformats-officedocument.spreadsheetml.queryTable+xml"/>
  <Override PartName="/xl/tables/table57.xml" ContentType="application/vnd.openxmlformats-officedocument.spreadsheetml.table+xml"/>
  <Override PartName="/xl/tables/table31.xml" ContentType="application/vnd.openxmlformats-officedocument.spreadsheetml.table+xml"/>
  <Override PartName="/xl/queryTables/queryTable56.xml" ContentType="application/vnd.openxmlformats-officedocument.spreadsheetml.queryTable+xml"/>
  <Override PartName="/xl/tables/table58.xml" ContentType="application/vnd.openxmlformats-officedocument.spreadsheetml.table+xml"/>
  <Override PartName="/xl/queryTables/queryTable58.xml" ContentType="application/vnd.openxmlformats-officedocument.spreadsheetml.queryTable+xml"/>
  <Override PartName="/xl/queryTables/queryTable30.xml" ContentType="application/vnd.openxmlformats-officedocument.spreadsheetml.queryTable+xml"/>
  <Override PartName="/xl/queryTables/queryTable59.xml" ContentType="application/vnd.openxmlformats-officedocument.spreadsheetml.queryTable+xml"/>
  <Override PartName="/xl/tables/table59.xml" ContentType="application/vnd.openxmlformats-officedocument.spreadsheetml.table+xml"/>
  <Override PartName="/xl/tables/table56.xml" ContentType="application/vnd.openxmlformats-officedocument.spreadsheetml.table+xml"/>
  <Override PartName="/xl/queryTables/queryTable31.xml" ContentType="application/vnd.openxmlformats-officedocument.spreadsheetml.queryTable+xml"/>
  <Override PartName="/xl/tables/table53.xml" ContentType="application/vnd.openxmlformats-officedocument.spreadsheetml.table+xml"/>
  <Override PartName="/xl/tables/table32.xml" ContentType="application/vnd.openxmlformats-officedocument.spreadsheetml.table+xml"/>
  <Override PartName="/xl/queryTables/queryTable52.xml" ContentType="application/vnd.openxmlformats-officedocument.spreadsheetml.queryTable+xml"/>
  <Override PartName="/xl/tables/table52.xml" ContentType="application/vnd.openxmlformats-officedocument.spreadsheetml.table+xml"/>
  <Override PartName="/xl/queryTables/queryTable32.xml" ContentType="application/vnd.openxmlformats-officedocument.spreadsheetml.queryTable+xml"/>
  <Override PartName="/xl/queryTables/queryTable53.xml" ContentType="application/vnd.openxmlformats-officedocument.spreadsheetml.queryTable+xml"/>
  <Override PartName="/xl/tables/table54.xml" ContentType="application/vnd.openxmlformats-officedocument.spreadsheetml.table+xml"/>
  <Override PartName="/xl/queryTables/queryTable55.xml" ContentType="application/vnd.openxmlformats-officedocument.spreadsheetml.queryTable+xml"/>
  <Override PartName="/xl/tables/table55.xml" ContentType="application/vnd.openxmlformats-officedocument.spreadsheetml.table+xml"/>
  <Override PartName="/xl/queryTables/queryTable54.xml" ContentType="application/vnd.openxmlformats-officedocument.spreadsheetml.queryTable+xml"/>
  <Override PartName="/xl/tables/table60.xml" ContentType="application/vnd.openxmlformats-officedocument.spreadsheetml.table+xml"/>
  <Override PartName="/xl/queryTables/queryTable60.xml" ContentType="application/vnd.openxmlformats-officedocument.spreadsheetml.queryTable+xml"/>
  <Override PartName="/xl/tables/table65.xml" ContentType="application/vnd.openxmlformats-officedocument.spreadsheetml.table+xml"/>
  <Override PartName="/xl/tables/table28.xml" ContentType="application/vnd.openxmlformats-officedocument.spreadsheetml.table+xml"/>
  <Override PartName="/xl/queryTables/queryTable28.xml" ContentType="application/vnd.openxmlformats-officedocument.spreadsheetml.queryTable+xml"/>
  <Override PartName="/xl/queryTables/queryTable65.xml" ContentType="application/vnd.openxmlformats-officedocument.spreadsheetml.queryTable+xml"/>
  <Override PartName="/xl/tables/table66.xml" ContentType="application/vnd.openxmlformats-officedocument.spreadsheetml.table+xml"/>
  <Override PartName="/xl/queryTables/queryTable67.xml" ContentType="application/vnd.openxmlformats-officedocument.spreadsheetml.queryTable+xml"/>
  <Override PartName="/xl/tables/table67.xml" ContentType="application/vnd.openxmlformats-officedocument.spreadsheetml.table+xml"/>
  <Override PartName="/xl/queryTables/queryTable66.xml" ContentType="application/vnd.openxmlformats-officedocument.spreadsheetml.queryTable+xml"/>
  <Override PartName="/xl/queryTables/queryTable64.xml" ContentType="application/vnd.openxmlformats-officedocument.spreadsheetml.queryTable+xml"/>
  <Override PartName="/xl/tables/table64.xml" ContentType="application/vnd.openxmlformats-officedocument.spreadsheetml.table+xml"/>
  <Override PartName="/xl/queryTables/queryTable61.xml" ContentType="application/vnd.openxmlformats-officedocument.spreadsheetml.queryTable+xml"/>
  <Override PartName="/xl/tables/table61.xml" ContentType="application/vnd.openxmlformats-officedocument.spreadsheetml.table+xml"/>
  <Override PartName="/xl/tables/table30.xml" ContentType="application/vnd.openxmlformats-officedocument.spreadsheetml.table+xml"/>
  <Override PartName="/xl/queryTables/queryTable29.xml" ContentType="application/vnd.openxmlformats-officedocument.spreadsheetml.queryTable+xml"/>
  <Override PartName="/xl/tables/table62.xml" ContentType="application/vnd.openxmlformats-officedocument.spreadsheetml.table+xml"/>
  <Override PartName="/xl/queryTables/queryTable63.xml" ContentType="application/vnd.openxmlformats-officedocument.spreadsheetml.queryTable+xml"/>
  <Override PartName="/xl/tables/table63.xml" ContentType="application/vnd.openxmlformats-officedocument.spreadsheetml.table+xml"/>
  <Override PartName="/xl/tables/table29.xml" ContentType="application/vnd.openxmlformats-officedocument.spreadsheetml.table+xml"/>
  <Override PartName="/xl/queryTables/queryTable62.xml" ContentType="application/vnd.openxmlformats-officedocument.spreadsheetml.queryTable+xml"/>
  <Override PartName="/xl/queryTables/queryTable51.xml" ContentType="application/vnd.openxmlformats-officedocument.spreadsheetml.queryTable+xml"/>
  <Override PartName="/xl/tables/table51.xml" ContentType="application/vnd.openxmlformats-officedocument.spreadsheetml.table+xml"/>
  <Override PartName="/xl/queryTables/queryTable38.xml" ContentType="application/vnd.openxmlformats-officedocument.spreadsheetml.queryTable+xml"/>
  <Override PartName="/xl/tables/table38.xml" ContentType="application/vnd.openxmlformats-officedocument.spreadsheetml.table+xml"/>
  <Override PartName="/xl/queryTables/queryTable37.xml" ContentType="application/vnd.openxmlformats-officedocument.spreadsheetml.queryTable+xml"/>
  <Override PartName="/xl/tables/table39.xml" ContentType="application/vnd.openxmlformats-officedocument.spreadsheetml.table+xml"/>
  <Override PartName="/xl/queryTables/queryTable39.xml" ContentType="application/vnd.openxmlformats-officedocument.spreadsheetml.queryTable+xml"/>
  <Override PartName="/xl/tables/table41.xml" ContentType="application/vnd.openxmlformats-officedocument.spreadsheetml.table+xml"/>
  <Override PartName="/xl/queryTables/queryTable40.xml" ContentType="application/vnd.openxmlformats-officedocument.spreadsheetml.queryTable+xml"/>
  <Override PartName="/xl/tables/table40.xml" ContentType="application/vnd.openxmlformats-officedocument.spreadsheetml.table+xml"/>
  <Override PartName="/xl/tables/table37.xml" ContentType="application/vnd.openxmlformats-officedocument.spreadsheetml.table+xml"/>
  <Override PartName="/xl/queryTables/queryTable36.xml" ContentType="application/vnd.openxmlformats-officedocument.spreadsheetml.queryTable+xml"/>
  <Override PartName="/xl/queryTables/queryTable34.xml" ContentType="application/vnd.openxmlformats-officedocument.spreadsheetml.queryTable+xml"/>
  <Override PartName="/xl/tables/table34.xml" ContentType="application/vnd.openxmlformats-officedocument.spreadsheetml.table+xml"/>
  <Override PartName="/xl/queryTables/queryTable33.xml" ContentType="application/vnd.openxmlformats-officedocument.spreadsheetml.queryTable+xml"/>
  <Override PartName="/xl/tables/table33.xml" ContentType="application/vnd.openxmlformats-officedocument.spreadsheetml.table+xml"/>
  <Override PartName="/xl/tables/table36.xml" ContentType="application/vnd.openxmlformats-officedocument.spreadsheetml.table+xml"/>
  <Override PartName="/xl/queryTables/queryTable35.xml" ContentType="application/vnd.openxmlformats-officedocument.spreadsheetml.queryTable+xml"/>
  <Override PartName="/xl/tables/table35.xml" ContentType="application/vnd.openxmlformats-officedocument.spreadsheetml.table+xml"/>
  <Override PartName="/xl/queryTables/queryTable41.xml" ContentType="application/vnd.openxmlformats-officedocument.spreadsheetml.queryTable+xml"/>
  <Override PartName="/xl/tables/table42.xml" ContentType="application/vnd.openxmlformats-officedocument.spreadsheetml.table+xml"/>
  <Override PartName="/xl/queryTables/queryTable48.xml" ContentType="application/vnd.openxmlformats-officedocument.spreadsheetml.queryTable+xml"/>
  <Override PartName="/xl/tables/table48.xml" ContentType="application/vnd.openxmlformats-officedocument.spreadsheetml.table+xml"/>
  <Override PartName="/xl/queryTables/queryTable47.xml" ContentType="application/vnd.openxmlformats-officedocument.spreadsheetml.queryTable+xml"/>
  <Override PartName="/xl/tables/table47.xml" ContentType="application/vnd.openxmlformats-officedocument.spreadsheetml.table+xml"/>
  <Override PartName="/xl/tables/table49.xml" ContentType="application/vnd.openxmlformats-officedocument.spreadsheetml.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tables/table50.xml" ContentType="application/vnd.openxmlformats-officedocument.spreadsheetml.table+xml"/>
  <Override PartName="/xl/queryTables/queryTable46.xml" ContentType="application/vnd.openxmlformats-officedocument.spreadsheetml.queryTable+xml"/>
  <Override PartName="/xl/tables/table46.xml" ContentType="application/vnd.openxmlformats-officedocument.spreadsheetml.table+xml"/>
  <Override PartName="/xl/queryTables/queryTable43.xml" ContentType="application/vnd.openxmlformats-officedocument.spreadsheetml.queryTable+xml"/>
  <Override PartName="/xl/tables/table43.xml" ContentType="application/vnd.openxmlformats-officedocument.spreadsheetml.table+xml"/>
  <Override PartName="/xl/queryTables/queryTable42.xml" ContentType="application/vnd.openxmlformats-officedocument.spreadsheetml.queryTable+xml"/>
  <Override PartName="/xl/tables/table44.xml" ContentType="application/vnd.openxmlformats-officedocument.spreadsheetml.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tables/table45.xml" ContentType="application/vnd.openxmlformats-officedocument.spreadsheetml.table+xml"/>
  <Override PartName="/xl/tables/table68.xml" ContentType="application/vnd.openxmlformats-officedocument.spreadsheetml.table+xml"/>
  <Override PartName="/xl/queryTables/queryTable68.xml" ContentType="application/vnd.openxmlformats-officedocument.spreadsheetml.queryTable+xml"/>
  <Override PartName="/xl/queryTables/queryTable18.xml" ContentType="application/vnd.openxmlformats-officedocument.spreadsheetml.queryTable+xml"/>
  <Override PartName="/xl/tables/table19.xml" ContentType="application/vnd.openxmlformats-officedocument.spreadsheetml.table+xml"/>
  <Override PartName="/xl/queryTables/queryTable19.xml" ContentType="application/vnd.openxmlformats-officedocument.spreadsheetml.queryTable+xml"/>
  <Override PartName="/xl/tables/table20.xml" ContentType="application/vnd.openxmlformats-officedocument.spreadsheetml.table+xml"/>
  <Override PartName="/xl/tables/table18.xml" ContentType="application/vnd.openxmlformats-officedocument.spreadsheetml.table+xml"/>
  <Override PartName="/xl/queryTables/queryTable17.xml" ContentType="application/vnd.openxmlformats-officedocument.spreadsheetml.queryTable+xml"/>
  <Override PartName="/xl/tables/table16.xml" ContentType="application/vnd.openxmlformats-officedocument.spreadsheetml.table+xml"/>
  <Override PartName="/xl/queryTables/queryTable16.xml" ContentType="application/vnd.openxmlformats-officedocument.spreadsheetml.queryTable+xml"/>
  <Override PartName="/xl/tables/table17.xml" ContentType="application/vnd.openxmlformats-officedocument.spreadsheetml.tabl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queryTables/queryTable82.xml" ContentType="application/vnd.openxmlformats-officedocument.spreadsheetml.queryTable+xml"/>
  <Override PartName="/xl/tables/table82.xml" ContentType="application/vnd.openxmlformats-officedocument.spreadsheetml.table+xml"/>
  <Override PartName="/xl/queryTables/queryTable21.xml" ContentType="application/vnd.openxmlformats-officedocument.spreadsheetml.queryTable+xml"/>
  <Override PartName="/xl/queryTables/queryTable81.xml" ContentType="application/vnd.openxmlformats-officedocument.spreadsheetml.queryTable+xml"/>
  <Override PartName="/xl/tables/table21.xml" ContentType="application/vnd.openxmlformats-officedocument.spreadsheetml.table+xml"/>
  <Override PartName="/xl/tables/table83.xml" ContentType="application/vnd.openxmlformats-officedocument.spreadsheetml.table+xml"/>
  <Override PartName="/xl/queryTables/queryTable83.xml" ContentType="application/vnd.openxmlformats-officedocument.spreadsheetml.queryTable+xml"/>
  <Override PartName="/xl/queryTables/queryTable20.xml" ContentType="application/vnd.openxmlformats-officedocument.spreadsheetml.queryTable+xml"/>
  <Override PartName="/xl/queryTables/queryTable15.xml" ContentType="application/vnd.openxmlformats-officedocument.spreadsheetml.queryTable+xml"/>
  <Override PartName="/xl/tables/table15.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tables/table7.xml" ContentType="application/vnd.openxmlformats-officedocument.spreadsheetml.table+xml"/>
  <Override PartName="/xl/queryTables/queryTable6.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9.xml" ContentType="application/vnd.openxmlformats-officedocument.spreadsheetml.queryTable+xml"/>
  <Override PartName="/xl/tables/table10.xml" ContentType="application/vnd.openxmlformats-officedocument.spreadsheetml.table+xml"/>
  <Override PartName="/xl/tables/table13.xml" ContentType="application/vnd.openxmlformats-officedocument.spreadsheetml.table+xml"/>
  <Override PartName="/xl/queryTables/queryTable13.xml" ContentType="application/vnd.openxmlformats-officedocument.spreadsheetml.queryTable+xml"/>
  <Override PartName="/xl/tables/table14.xml" ContentType="application/vnd.openxmlformats-officedocument.spreadsheetml.table+xml"/>
  <Override PartName="/xl/queryTables/queryTable14.xml" ContentType="application/vnd.openxmlformats-officedocument.spreadsheetml.queryTable+xml"/>
  <Override PartName="/xl/queryTables/queryTable12.xml" ContentType="application/vnd.openxmlformats-officedocument.spreadsheetml.queryTable+xml"/>
  <Override PartName="/xl/tables/table12.xml" ContentType="application/vnd.openxmlformats-officedocument.spreadsheetml.table+xml"/>
  <Override PartName="/xl/queryTables/queryTable10.xml" ContentType="application/vnd.openxmlformats-officedocument.spreadsheetml.queryTable+xml"/>
  <Override PartName="/xl/tables/table11.xml" ContentType="application/vnd.openxmlformats-officedocument.spreadsheetml.table+xml"/>
  <Override PartName="/xl/queryTables/queryTable11.xml" ContentType="application/vnd.openxmlformats-officedocument.spreadsheetml.queryTable+xml"/>
  <Override PartName="/xl/tables/table81.xml" ContentType="application/vnd.openxmlformats-officedocument.spreadsheetml.table+xml"/>
  <Override PartName="/xl/queryTables/queryTable72.xml" ContentType="application/vnd.openxmlformats-officedocument.spreadsheetml.queryTable+xml"/>
  <Override PartName="/xl/tables/table72.xml" ContentType="application/vnd.openxmlformats-officedocument.spreadsheetml.table+xml"/>
  <Override PartName="/xl/tables/table26.xml" ContentType="application/vnd.openxmlformats-officedocument.spreadsheetml.table+xml"/>
  <Override PartName="/xl/queryTables/queryTable25.xml" ContentType="application/vnd.openxmlformats-officedocument.spreadsheetml.queryTable+xml"/>
  <Override PartName="/xl/tables/table73.xml" ContentType="application/vnd.openxmlformats-officedocument.spreadsheetml.table+xml"/>
  <Override PartName="/xl/tables/table25.xml" ContentType="application/vnd.openxmlformats-officedocument.spreadsheetml.table+xml"/>
  <Override PartName="/xl/queryTables/queryTable73.xml" ContentType="application/vnd.openxmlformats-officedocument.spreadsheetml.queryTable+xml"/>
  <Override PartName="/xl/queryTables/queryTable26.xml" ContentType="application/vnd.openxmlformats-officedocument.spreadsheetml.queryTable+xml"/>
  <Override PartName="/xl/queryTables/queryTable69.xml" ContentType="application/vnd.openxmlformats-officedocument.spreadsheetml.queryTable+xml"/>
  <Override PartName="/xl/tables/table69.xml" ContentType="application/vnd.openxmlformats-officedocument.spreadsheetml.table+xml"/>
  <Override PartName="/xl/tables/table70.xml" ContentType="application/vnd.openxmlformats-officedocument.spreadsheetml.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tables/table71.xml" ContentType="application/vnd.openxmlformats-officedocument.spreadsheetml.table+xml"/>
  <Override PartName="/xl/tables/table27.xml" ContentType="application/vnd.openxmlformats-officedocument.spreadsheetml.table+xml"/>
  <Override PartName="/xl/queryTables/queryTable27.xml" ContentType="application/vnd.openxmlformats-officedocument.spreadsheetml.queryTable+xml"/>
  <Override PartName="/xl/tables/table74.xml" ContentType="application/vnd.openxmlformats-officedocument.spreadsheetml.table+xml"/>
  <Override PartName="/xl/queryTables/queryTable74.xml" ContentType="application/vnd.openxmlformats-officedocument.spreadsheetml.queryTable+xml"/>
  <Override PartName="/xl/queryTables/queryTable78.xml" ContentType="application/vnd.openxmlformats-officedocument.spreadsheetml.queryTable+xml"/>
  <Override PartName="/xl/tables/table78.xml" ContentType="application/vnd.openxmlformats-officedocument.spreadsheetml.table+xml"/>
  <Override PartName="/xl/queryTables/queryTable77.xml" ContentType="application/vnd.openxmlformats-officedocument.spreadsheetml.queryTable+xml"/>
  <Override PartName="/xl/tables/table79.xml" ContentType="application/vnd.openxmlformats-officedocument.spreadsheetml.table+xml"/>
  <Override PartName="/xl/queryTables/queryTable79.xml" ContentType="application/vnd.openxmlformats-officedocument.spreadsheetml.queryTable+xml"/>
  <Override PartName="/xl/tables/table22.xml" ContentType="application/vnd.openxmlformats-officedocument.spreadsheetml.table+xml"/>
  <Override PartName="/xl/queryTables/queryTable80.xml" ContentType="application/vnd.openxmlformats-officedocument.spreadsheetml.queryTable+xml"/>
  <Override PartName="/xl/tables/table80.xml" ContentType="application/vnd.openxmlformats-officedocument.spreadsheetml.table+xml"/>
  <Override PartName="/xl/queryTables/queryTable22.xml" ContentType="application/vnd.openxmlformats-officedocument.spreadsheetml.queryTable+xml"/>
  <Override PartName="/xl/tables/table77.xml" ContentType="application/vnd.openxmlformats-officedocument.spreadsheetml.table+xml"/>
  <Override PartName="/xl/tables/table23.xml" ContentType="application/vnd.openxmlformats-officedocument.spreadsheetml.table+xml"/>
  <Override PartName="/xl/queryTables/queryTable75.xml" ContentType="application/vnd.openxmlformats-officedocument.spreadsheetml.queryTable+xml"/>
  <Override PartName="/xl/tables/table75.xml" ContentType="application/vnd.openxmlformats-officedocument.spreadsheetml.table+xml"/>
  <Override PartName="/xl/queryTables/queryTable24.xml" ContentType="application/vnd.openxmlformats-officedocument.spreadsheetml.queryTable+xml"/>
  <Override PartName="/xl/tables/table24.xml" ContentType="application/vnd.openxmlformats-officedocument.spreadsheetml.table+xml"/>
  <Override PartName="/xl/queryTables/queryTable23.xml" ContentType="application/vnd.openxmlformats-officedocument.spreadsheetml.queryTable+xml"/>
  <Override PartName="/xl/queryTables/queryTable76.xml" ContentType="application/vnd.openxmlformats-officedocument.spreadsheetml.queryTable+xml"/>
  <Override PartName="/xl/tables/table76.xml" ContentType="application/vnd.openxmlformats-officedocument.spreadsheetml.table+xml"/>
  <Override PartName="/xl/queryTables/queryTable4.xml" ContentType="application/vnd.openxmlformats-officedocument.spreadsheetml.query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100" windowWidth="17520" windowHeight="5040" tabRatio="815" firstSheet="38" activeTab="43"/>
  </bookViews>
  <sheets>
    <sheet name="Sheet1" sheetId="132" r:id="rId1"/>
    <sheet name="Cover" sheetId="165" r:id="rId2"/>
    <sheet name="Intr." sheetId="155" r:id="rId3"/>
    <sheet name="Cont." sheetId="156" r:id="rId4"/>
    <sheet name="ConT.GR" sheetId="157" r:id="rId5"/>
    <sheet name="-" sheetId="158" r:id="rId6"/>
    <sheet name="Pref." sheetId="159" r:id="rId7"/>
    <sheet name="Def." sheetId="160" r:id="rId8"/>
    <sheet name="المؤشرات" sheetId="161" r:id="rId9"/>
    <sheet name="FIRST" sheetId="13" r:id="rId10"/>
    <sheet name="1" sheetId="14" r:id="rId11"/>
    <sheet name="GR-1" sheetId="15" r:id="rId12"/>
    <sheet name="2" sheetId="125" r:id="rId13"/>
    <sheet name="3" sheetId="16" r:id="rId14"/>
    <sheet name="GR-2" sheetId="17" r:id="rId15"/>
    <sheet name="4" sheetId="18" r:id="rId16"/>
    <sheet name="GR-3" sheetId="19" r:id="rId17"/>
    <sheet name="5" sheetId="20" r:id="rId18"/>
    <sheet name="GR-4" sheetId="21" r:id="rId19"/>
    <sheet name="6" sheetId="153" r:id="rId20"/>
    <sheet name="GR-5" sheetId="23" r:id="rId21"/>
    <sheet name="7" sheetId="24" r:id="rId22"/>
    <sheet name="8" sheetId="25" r:id="rId23"/>
    <sheet name="GR-6" sheetId="26" r:id="rId24"/>
    <sheet name="9" sheetId="27" r:id="rId25"/>
    <sheet name="10" sheetId="28" r:id="rId26"/>
    <sheet name="11-1" sheetId="29" r:id="rId27"/>
    <sheet name="11-2" sheetId="30" r:id="rId28"/>
    <sheet name="11-3" sheetId="31" r:id="rId29"/>
    <sheet name="12-1" sheetId="32" r:id="rId30"/>
    <sheet name="12-2" sheetId="33" r:id="rId31"/>
    <sheet name="12-3" sheetId="34" r:id="rId32"/>
    <sheet name="13-1" sheetId="35" r:id="rId33"/>
    <sheet name="13-2" sheetId="36" r:id="rId34"/>
    <sheet name="13-3" sheetId="37" r:id="rId35"/>
    <sheet name="14-1" sheetId="38" r:id="rId36"/>
    <sheet name="14-2" sheetId="39" r:id="rId37"/>
    <sheet name="14-3" sheetId="40" r:id="rId38"/>
    <sheet name="15-1" sheetId="41" r:id="rId39"/>
    <sheet name="15-2" sheetId="42" r:id="rId40"/>
    <sheet name="15-3" sheetId="43" r:id="rId41"/>
    <sheet name="16-1" sheetId="44" r:id="rId42"/>
    <sheet name="16-2" sheetId="45" r:id="rId43"/>
    <sheet name="16-3" sheetId="46" r:id="rId44"/>
    <sheet name="GR-7" sheetId="47" r:id="rId45"/>
    <sheet name="17-1" sheetId="48" r:id="rId46"/>
    <sheet name="17-2" sheetId="49" r:id="rId47"/>
    <sheet name="17-3" sheetId="50" r:id="rId48"/>
    <sheet name="GR-8 " sheetId="51" r:id="rId49"/>
    <sheet name="18-1" sheetId="52" r:id="rId50"/>
    <sheet name="18-2" sheetId="53" r:id="rId51"/>
    <sheet name="18-3" sheetId="54" r:id="rId52"/>
    <sheet name="19" sheetId="55" r:id="rId53"/>
    <sheet name="20" sheetId="56" r:id="rId54"/>
    <sheet name="GR9" sheetId="57" r:id="rId55"/>
    <sheet name="SECOND" sheetId="58" r:id="rId56"/>
    <sheet name="21" sheetId="59" r:id="rId57"/>
    <sheet name="GR-10" sheetId="60" r:id="rId58"/>
    <sheet name="22" sheetId="154" r:id="rId59"/>
    <sheet name="GR11" sheetId="62" r:id="rId60"/>
    <sheet name="23" sheetId="63" r:id="rId61"/>
    <sheet name="GR12" sheetId="64" r:id="rId62"/>
    <sheet name="24" sheetId="65" r:id="rId63"/>
    <sheet name="GR13" sheetId="66" r:id="rId64"/>
    <sheet name="GR14" sheetId="67" r:id="rId65"/>
    <sheet name="25-1" sheetId="68" r:id="rId66"/>
    <sheet name="25-2" sheetId="69" r:id="rId67"/>
    <sheet name="25-3" sheetId="70" r:id="rId68"/>
    <sheet name="26-1" sheetId="71" r:id="rId69"/>
    <sheet name="26-2" sheetId="72" r:id="rId70"/>
    <sheet name="26-3" sheetId="73" r:id="rId71"/>
    <sheet name="27" sheetId="140" r:id="rId72"/>
    <sheet name="28.1" sheetId="74" r:id="rId73"/>
    <sheet name="28.2" sheetId="75" r:id="rId74"/>
    <sheet name="28.3" sheetId="76" r:id="rId75"/>
    <sheet name="29" sheetId="142" r:id="rId76"/>
    <sheet name="30.1" sheetId="77" r:id="rId77"/>
    <sheet name="30.2" sheetId="78" r:id="rId78"/>
    <sheet name="30.3" sheetId="79" r:id="rId79"/>
    <sheet name="31.1" sheetId="80" r:id="rId80"/>
    <sheet name="31.2" sheetId="81" r:id="rId81"/>
    <sheet name="31.3" sheetId="82" r:id="rId82"/>
    <sheet name="32.1" sheetId="83" r:id="rId83"/>
    <sheet name="32.2" sheetId="84" r:id="rId84"/>
    <sheet name="32.3" sheetId="85" r:id="rId85"/>
    <sheet name="33.1" sheetId="86" r:id="rId86"/>
    <sheet name="33.2" sheetId="87" r:id="rId87"/>
    <sheet name="33.3" sheetId="88" r:id="rId88"/>
    <sheet name="34" sheetId="89" r:id="rId89"/>
    <sheet name="35" sheetId="90" r:id="rId90"/>
    <sheet name="36" sheetId="91" r:id="rId91"/>
    <sheet name="GR15" sheetId="92" r:id="rId92"/>
    <sheet name="37" sheetId="93" r:id="rId93"/>
    <sheet name="38.1" sheetId="94" r:id="rId94"/>
    <sheet name="38.2" sheetId="95" r:id="rId95"/>
    <sheet name="38.3" sheetId="96" r:id="rId96"/>
    <sheet name="GR16" sheetId="97" r:id="rId97"/>
    <sheet name="39.1" sheetId="98" r:id="rId98"/>
    <sheet name="39.2" sheetId="99" r:id="rId99"/>
    <sheet name="39.3" sheetId="100" r:id="rId100"/>
    <sheet name="40.1" sheetId="101" r:id="rId101"/>
    <sheet name="40.2" sheetId="102" r:id="rId102"/>
    <sheet name="40.3" sheetId="103" r:id="rId103"/>
    <sheet name="GR17" sheetId="104" r:id="rId104"/>
    <sheet name="41.1" sheetId="105" r:id="rId105"/>
    <sheet name="GR18" sheetId="106" r:id="rId106"/>
    <sheet name="41.2" sheetId="107" r:id="rId107"/>
    <sheet name="GR19" sheetId="108" r:id="rId108"/>
    <sheet name="41.3" sheetId="109" r:id="rId109"/>
    <sheet name="GR20" sheetId="110" r:id="rId110"/>
    <sheet name="42-1" sheetId="111" r:id="rId111"/>
    <sheet name="GR21" sheetId="112" r:id="rId112"/>
    <sheet name="42-2" sheetId="113" r:id="rId113"/>
    <sheet name="GR22" sheetId="133" r:id="rId114"/>
    <sheet name="42-3" sheetId="115" r:id="rId115"/>
    <sheet name="GR23" sheetId="134" r:id="rId116"/>
    <sheet name="43-1" sheetId="117" r:id="rId117"/>
    <sheet name="43-2" sheetId="118" r:id="rId118"/>
    <sheet name="43-3" sheetId="119" r:id="rId119"/>
    <sheet name="44" sheetId="126" r:id="rId120"/>
    <sheet name="GR24" sheetId="121" r:id="rId121"/>
    <sheet name="45" sheetId="122" r:id="rId122"/>
    <sheet name="46" sheetId="138" r:id="rId123"/>
    <sheet name="47" sheetId="139" r:id="rId124"/>
    <sheet name="الملاحق" sheetId="162" r:id="rId125"/>
    <sheet name="الزواج Marriage" sheetId="163" r:id="rId126"/>
    <sheet name="الطلاق Divorces" sheetId="164" r:id="rId127"/>
  </sheets>
  <definedNames>
    <definedName name="Default__XLS_TAB_1" localSheetId="10" hidden="1">'1'!$A$10:$N$19</definedName>
    <definedName name="Default__XLS_TAB_10" localSheetId="25" hidden="1">'10'!$A$8:$N$13</definedName>
    <definedName name="Default__XLS_TAB_11_1" localSheetId="26" hidden="1">'11-1'!$A$9:$N$22</definedName>
    <definedName name="Default__XLS_TAB_11_2" localSheetId="27" hidden="1">'11-2'!$A$9:$N$22</definedName>
    <definedName name="Default__XLS_TAB_11_3" localSheetId="28" hidden="1">'11-3'!$A$9:$N$22</definedName>
    <definedName name="Default__XLS_TAB_12_1" localSheetId="29" hidden="1">'12-1'!$A$9:$H$22</definedName>
    <definedName name="Default__XLS_TAB_12_2" localSheetId="30" hidden="1">'12-2'!$A$9:$H$22</definedName>
    <definedName name="Default__XLS_TAB_12_3" localSheetId="31" hidden="1">'12-3'!$A$9:$H$22</definedName>
    <definedName name="Default__XLS_TAB_13_1" localSheetId="32" hidden="1">'13-1'!$A$9:$H$22</definedName>
    <definedName name="Default__XLS_TAB_13_2" localSheetId="33" hidden="1">'13-2'!$A$9:$H$22</definedName>
    <definedName name="Default__XLS_TAB_13_3" localSheetId="34" hidden="1">'13-3'!$A$9:$H$22</definedName>
    <definedName name="Default__XLS_TAB_14_1" localSheetId="35" hidden="1">'14-1'!$A$9:$G$19</definedName>
    <definedName name="Default__XLS_TAB_14_2" localSheetId="36" hidden="1">'14-2'!$A$9:$G$19</definedName>
    <definedName name="Default__XLS_TAB_14_3" localSheetId="37" hidden="1">'14-3'!$A$9:$G$19</definedName>
    <definedName name="Default__XLS_TAB_15_1" localSheetId="38" hidden="1">'15-1'!$A$8:$F$17</definedName>
    <definedName name="Default__XLS_TAB_15_2" localSheetId="39" hidden="1">'15-2'!$A$8:$F$17</definedName>
    <definedName name="Default__XLS_TAB_15_3" localSheetId="40" hidden="1">'15-3'!$A$8:$F$17</definedName>
    <definedName name="Default__XLS_TAB_16_1" localSheetId="41" hidden="1">'16-1'!$B$9:$J$16</definedName>
    <definedName name="Default__XLS_TAB_16_2" localSheetId="42" hidden="1">'16-2'!$B$9:$J$16</definedName>
    <definedName name="Default__XLS_TAB_16_3" localSheetId="43" hidden="1">'16-3'!$B$9:$J$16</definedName>
    <definedName name="Default__XLS_TAB_17_1" localSheetId="45" hidden="1">'17-1'!$A$10:$O$21</definedName>
    <definedName name="Default__XLS_TAB_17_2" localSheetId="46" hidden="1">'17-2'!$A$10:$O$21</definedName>
    <definedName name="Default__XLS_TAB_17_3" localSheetId="47" hidden="1">'17-3'!$A$10:$O$21</definedName>
    <definedName name="Default__XLS_TAB_18_1" localSheetId="49" hidden="1">'18-1'!$A$9:$N$22</definedName>
    <definedName name="Default__XLS_TAB_18_2" localSheetId="50" hidden="1">'18-2'!$A$9:$N$22</definedName>
    <definedName name="Default__XLS_TAB_18_3" localSheetId="51" hidden="1">'18-3'!$A$9:$N$22</definedName>
    <definedName name="Default__XLS_TAB_19" localSheetId="52" hidden="1">'19'!$C$8:$J$15</definedName>
    <definedName name="Default__XLS_TAB_2" localSheetId="12" hidden="1">'2'!$A$9:$N$13</definedName>
    <definedName name="Default__XLS_TAB_20" localSheetId="53" hidden="1">'20'!$C$8:$J$15</definedName>
    <definedName name="Default__XLS_TAB_23" localSheetId="60" hidden="1">'23'!$B$8:$G$19</definedName>
    <definedName name="Default__XLS_TAB_24" localSheetId="62" hidden="1">'24'!$B$8:$G$13</definedName>
    <definedName name="Default__XLS_TAB_25_1" localSheetId="65" hidden="1">'25-1'!$B$9:$G$22</definedName>
    <definedName name="Default__XLS_TAB_25_2" localSheetId="66" hidden="1">'25-2'!$B$9:$G$22</definedName>
    <definedName name="Default__XLS_TAB_25_3" localSheetId="67" hidden="1">'25-3'!$B$9:$G$22</definedName>
    <definedName name="Default__XLS_TAB_26_2" localSheetId="68" hidden="1">'26-1'!$B$9:$G$19</definedName>
    <definedName name="Default__XLS_TAB_26_2" localSheetId="69" hidden="1">'26-2'!$B$9:$G$19</definedName>
    <definedName name="Default__XLS_TAB_26_2" localSheetId="70" hidden="1">'26-3'!$B$9:$G$19</definedName>
    <definedName name="Default__XLS_TAB_27_1" localSheetId="72" hidden="1">'28.1'!$B$9:$G$20</definedName>
    <definedName name="Default__XLS_TAB_27_1" localSheetId="73" hidden="1">'28.2'!$B$9:$G$20</definedName>
    <definedName name="Default__XLS_TAB_27_2" localSheetId="71" hidden="1">'27'!$C$8:$H$18</definedName>
    <definedName name="Default__XLS_TAB_27_2" localSheetId="122" hidden="1">'46'!$A$7:$E$13</definedName>
    <definedName name="Default__XLS_TAB_27_3" localSheetId="74" hidden="1">'28.3'!$B$9:$G$20</definedName>
    <definedName name="Default__XLS_TAB_28_1" localSheetId="76" hidden="1">'30.1'!$B$9:$G$20</definedName>
    <definedName name="Default__XLS_TAB_28_1" localSheetId="77" hidden="1">'30.2'!$B$9:$G$20</definedName>
    <definedName name="Default__XLS_TAB_28_2" localSheetId="77" hidden="1">'30.2'!$B$9:$I$16</definedName>
    <definedName name="Default__XLS_TAB_28_3" localSheetId="78" hidden="1">'30.3'!$B$9:$G$20</definedName>
    <definedName name="Default__XLS_TAB_29_1" localSheetId="79" hidden="1">'31.1'!$A$9:$O$22</definedName>
    <definedName name="Default__XLS_TAB_29_2" localSheetId="80" hidden="1">'31.2'!$A$9:$O$22</definedName>
    <definedName name="Default__XLS_TAB_29_3" localSheetId="81" hidden="1">'31.3'!$A$9:$O$22</definedName>
    <definedName name="Default__XLS_TAB_30_2" localSheetId="75" hidden="1">'29'!$A$9:$N$20</definedName>
    <definedName name="Default__XLS_TAB_30_2" localSheetId="83" hidden="1">'32.2'!#REF!</definedName>
    <definedName name="Default__XLS_TAB_30_3" localSheetId="82" hidden="1">'32.1'!$A$9:$O$19</definedName>
    <definedName name="Default__XLS_TAB_30_3" localSheetId="83" hidden="1">'32.2'!$A$9:$O$19</definedName>
    <definedName name="Default__XLS_TAB_30_3" localSheetId="84" hidden="1">'32.3'!$A$9:$O$19</definedName>
    <definedName name="Default__XLS_TAB_31_1" localSheetId="85" hidden="1">'33.1'!$A$9:$N$22</definedName>
    <definedName name="Default__XLS_TAB_31_2" localSheetId="86" hidden="1">'33.2'!$A$9:$N$22</definedName>
    <definedName name="Default__XLS_TAB_31_3" localSheetId="87" hidden="1">'33.3'!$A$9:$N$22</definedName>
    <definedName name="Default__XLS_TAB_32" localSheetId="88" hidden="1">'34'!$A$8:$Q$13</definedName>
    <definedName name="Default__XLS_TAB_33" localSheetId="89" hidden="1">'35'!$A$8:$N$13</definedName>
    <definedName name="Default__XLS_TAB_34" localSheetId="90" hidden="1">'36'!$B$8:$H$13</definedName>
    <definedName name="Default__XLS_TAB_35" localSheetId="92" hidden="1">'37'!$A$9:$N$22</definedName>
    <definedName name="Default__XLS_TAB_36_1" localSheetId="93" hidden="1">'38.1'!$B$9:$J$16</definedName>
    <definedName name="Default__XLS_TAB_36_2" localSheetId="94" hidden="1">'38.2'!$B$9:$J$16</definedName>
    <definedName name="Default__XLS_TAB_36_3" localSheetId="95" hidden="1">'38.3'!$B$9:$J$16</definedName>
    <definedName name="Default__XLS_TAB_37_1" localSheetId="97" hidden="1">'39.1'!$B$9:$J$19</definedName>
    <definedName name="Default__XLS_TAB_37_2" localSheetId="98" hidden="1">'39.2'!$B$9:$J$19</definedName>
    <definedName name="Default__XLS_TAB_37_3" localSheetId="99" hidden="1">'39.3'!$B$9:$J$19</definedName>
    <definedName name="Default__XLS_TAB_38_1" localSheetId="100" hidden="1">'40.1'!$A$10:$O$21</definedName>
    <definedName name="Default__XLS_TAB_38_2" localSheetId="101" hidden="1">'40.2'!$A$10:$O$21</definedName>
    <definedName name="Default__XLS_TAB_38_3" localSheetId="102" hidden="1">'40.3'!$B$10:$N$21</definedName>
    <definedName name="Default__XLS_TAB_39_1" localSheetId="104" hidden="1">'41.1'!$I$9:$V$22</definedName>
    <definedName name="Default__XLS_TAB_39_2" localSheetId="106" hidden="1">'41.2'!$A$9:$N$22</definedName>
    <definedName name="Default__XLS_TAB_39_3" localSheetId="108" hidden="1">'41.3'!$A$9:$N$22</definedName>
    <definedName name="Default__XLS_TAB_40_1" localSheetId="110" hidden="1">'42-1'!$B$9:$M$22</definedName>
    <definedName name="Default__XLS_TAB_40_2" localSheetId="112" hidden="1">'42-2'!$B$9:$M$22</definedName>
    <definedName name="Default__XLS_TAB_40_3" localSheetId="114" hidden="1">'42-3'!$B$9:$M$22</definedName>
    <definedName name="Default__XLS_TAB_41_1" localSheetId="116" hidden="1">'43-1'!$B$9:$J$19</definedName>
    <definedName name="Default__XLS_TAB_41_2" localSheetId="117" hidden="1">'43-2'!$B$9:$J$19</definedName>
    <definedName name="Default__XLS_TAB_41_3" localSheetId="118" hidden="1">'43-3'!$B$9:$J$19</definedName>
    <definedName name="Default__XLS_TAB_42" localSheetId="119" hidden="1">'44'!$C$8:$J$15</definedName>
    <definedName name="Default__XLS_TAB_43" localSheetId="121" hidden="1">'45'!$A$8:$L$19</definedName>
    <definedName name="Default__XLS_TAB_48" localSheetId="123" hidden="1">'47'!$A$7:$E$13</definedName>
    <definedName name="Default__XLS_TAB_7" localSheetId="21" hidden="1">'7'!$B$7:$G$18</definedName>
    <definedName name="Default__XLS_TAB_8" localSheetId="22" hidden="1">'8'!$B$8:$H$13</definedName>
    <definedName name="Default__XLS_TAB_9" localSheetId="24" hidden="1">'9'!$A$8:$Q$13</definedName>
    <definedName name="_xlnm.Print_Area" localSheetId="5">'-'!$A$1:$K$61</definedName>
    <definedName name="_xlnm.Print_Area" localSheetId="10">'1'!$A$1:$N$21</definedName>
    <definedName name="_xlnm.Print_Area" localSheetId="25">'10'!$A$1:$N$14</definedName>
    <definedName name="_xlnm.Print_Area" localSheetId="26">'11-1'!$A$1:$N$23</definedName>
    <definedName name="_xlnm.Print_Area" localSheetId="27">'11-2'!$A$1:$N$23</definedName>
    <definedName name="_xlnm.Print_Area" localSheetId="28">'11-3'!$A$1:$N$23</definedName>
    <definedName name="_xlnm.Print_Area" localSheetId="29">'12-1'!$A$1:$H$24</definedName>
    <definedName name="_xlnm.Print_Area" localSheetId="30">'12-2'!$A$1:$H$24</definedName>
    <definedName name="_xlnm.Print_Area" localSheetId="31">'12-3'!$A$1:$H$24</definedName>
    <definedName name="_xlnm.Print_Area" localSheetId="32">'13-1'!$A$1:$H$24</definedName>
    <definedName name="_xlnm.Print_Area" localSheetId="33">'13-2'!$A$1:$H$24</definedName>
    <definedName name="_xlnm.Print_Area" localSheetId="34">'13-3'!$A$1:$H$24</definedName>
    <definedName name="_xlnm.Print_Area" localSheetId="35">'14-1'!$A$1:$G$21</definedName>
    <definedName name="_xlnm.Print_Area" localSheetId="36">'14-2'!$A$1:$G$21</definedName>
    <definedName name="_xlnm.Print_Area" localSheetId="37">'14-3'!$A$1:$G$21</definedName>
    <definedName name="_xlnm.Print_Area" localSheetId="38">'15-1'!$A$1:$F$18</definedName>
    <definedName name="_xlnm.Print_Area" localSheetId="39">'15-2'!$A$1:$F$18</definedName>
    <definedName name="_xlnm.Print_Area" localSheetId="40">'15-3'!$A$1:$F$18</definedName>
    <definedName name="_xlnm.Print_Area" localSheetId="41">'16-1'!$A$1:$L$18</definedName>
    <definedName name="_xlnm.Print_Area" localSheetId="42">'16-2'!$A$1:$L$18</definedName>
    <definedName name="_xlnm.Print_Area" localSheetId="43">'16-3'!$A$1:$L$18</definedName>
    <definedName name="_xlnm.Print_Area" localSheetId="45">'17-1'!$A$1:$O$23</definedName>
    <definedName name="_xlnm.Print_Area" localSheetId="46">'17-2'!$A$1:$O$23</definedName>
    <definedName name="_xlnm.Print_Area" localSheetId="47">'17-3'!$A$1:$O$23</definedName>
    <definedName name="_xlnm.Print_Area" localSheetId="49">'18-1'!$A$1:$N$23</definedName>
    <definedName name="_xlnm.Print_Area" localSheetId="50">'18-2'!$A$1:$N$23</definedName>
    <definedName name="_xlnm.Print_Area" localSheetId="51">'18-3'!$A$1:$N$23</definedName>
    <definedName name="_xlnm.Print_Area" localSheetId="52">'19'!$A$1:$N$17</definedName>
    <definedName name="_xlnm.Print_Area" localSheetId="12">'2'!$A$1:$N$13</definedName>
    <definedName name="_xlnm.Print_Area" localSheetId="53">'20'!$A$1:$N$17</definedName>
    <definedName name="_xlnm.Print_Area" localSheetId="58">'22'!$A$1:$Y$31</definedName>
    <definedName name="_xlnm.Print_Area" localSheetId="60">'23'!$A$1:$H$20</definedName>
    <definedName name="_xlnm.Print_Area" localSheetId="62">'24'!$A$1:$I$15</definedName>
    <definedName name="_xlnm.Print_Area" localSheetId="65">'25-1'!$A$1:$I$23</definedName>
    <definedName name="_xlnm.Print_Area" localSheetId="66">'25-2'!$A$1:$I$23</definedName>
    <definedName name="_xlnm.Print_Area" localSheetId="67">'25-3'!$A$1:$I$23</definedName>
    <definedName name="_xlnm.Print_Area" localSheetId="68">'26-1'!$A$1:$I$20</definedName>
    <definedName name="_xlnm.Print_Area" localSheetId="69">'26-2'!$A$1:$I$20</definedName>
    <definedName name="_xlnm.Print_Area" localSheetId="70">'26-3'!$A$1:$I$20</definedName>
    <definedName name="_xlnm.Print_Area" localSheetId="71">'27'!$A$1:$K$19</definedName>
    <definedName name="_xlnm.Print_Area" localSheetId="72">'28.1'!$A$1:$I$22</definedName>
    <definedName name="_xlnm.Print_Area" localSheetId="73">'28.2'!$A$1:$I$22</definedName>
    <definedName name="_xlnm.Print_Area" localSheetId="74">'28.3'!$A$1:$I$22</definedName>
    <definedName name="_xlnm.Print_Area" localSheetId="75">'29'!$A$1:$N$21</definedName>
    <definedName name="_xlnm.Print_Area" localSheetId="13">'3'!$A$1:$F$17</definedName>
    <definedName name="_xlnm.Print_Area" localSheetId="76">'30.1'!$A$1:$I$22</definedName>
    <definedName name="_xlnm.Print_Area" localSheetId="77">'30.2'!$A$1:$I$22</definedName>
    <definedName name="_xlnm.Print_Area" localSheetId="78">'30.3'!$A$1:$I$22</definedName>
    <definedName name="_xlnm.Print_Area" localSheetId="79">'31.1'!$A$1:$O$24</definedName>
    <definedName name="_xlnm.Print_Area" localSheetId="80">'31.2'!$A$1:$O$24</definedName>
    <definedName name="_xlnm.Print_Area" localSheetId="81">'31.3'!$A$1:$O$24</definedName>
    <definedName name="_xlnm.Print_Area" localSheetId="82">'32.1'!$A$1:$O$21</definedName>
    <definedName name="_xlnm.Print_Area" localSheetId="83">'32.2'!$A$1:$O$21</definedName>
    <definedName name="_xlnm.Print_Area" localSheetId="84">'32.3'!$A$1:$O$21</definedName>
    <definedName name="_xlnm.Print_Area" localSheetId="85">'33.1'!$A$1:$N$23</definedName>
    <definedName name="_xlnm.Print_Area" localSheetId="86">'33.2'!$A$1:$N$23</definedName>
    <definedName name="_xlnm.Print_Area" localSheetId="87">'33.3'!$A$1:$N$23</definedName>
    <definedName name="_xlnm.Print_Area" localSheetId="88">'34'!$A$1:$Q$14</definedName>
    <definedName name="_xlnm.Print_Area" localSheetId="89">'35'!$A$1:$N$14</definedName>
    <definedName name="_xlnm.Print_Area" localSheetId="90">'36'!$A$1:$J$15</definedName>
    <definedName name="_xlnm.Print_Area" localSheetId="92">'37'!$A$1:$N$23</definedName>
    <definedName name="_xlnm.Print_Area" localSheetId="93">'38.1'!$A$1:$L$18</definedName>
    <definedName name="_xlnm.Print_Area" localSheetId="94">'38.2'!$A$1:$L$18</definedName>
    <definedName name="_xlnm.Print_Area" localSheetId="95">'38.3'!$A$1:$L$18</definedName>
    <definedName name="_xlnm.Print_Area" localSheetId="97">'39.1'!$A$1:$L$21</definedName>
    <definedName name="_xlnm.Print_Area" localSheetId="98">'39.2'!$A$1:$L$21</definedName>
    <definedName name="_xlnm.Print_Area" localSheetId="99">'39.3'!$A$1:$L$21</definedName>
    <definedName name="_xlnm.Print_Area" localSheetId="15">'4'!$A$1:$F$17</definedName>
    <definedName name="_xlnm.Print_Area" localSheetId="100">'40.1'!$A$1:$O$23</definedName>
    <definedName name="_xlnm.Print_Area" localSheetId="101">'40.2'!$A$1:$O$23</definedName>
    <definedName name="_xlnm.Print_Area" localSheetId="102">'40.3'!$A$1:$O$23</definedName>
    <definedName name="_xlnm.Print_Area" localSheetId="104">'41.1'!$I$1:$V$23</definedName>
    <definedName name="_xlnm.Print_Area" localSheetId="106">'41.2'!$A$1:$N$23</definedName>
    <definedName name="_xlnm.Print_Area" localSheetId="108">'41.3'!$A$1:$N$23</definedName>
    <definedName name="_xlnm.Print_Area" localSheetId="110">'42-1'!$A$1:$O$25</definedName>
    <definedName name="_xlnm.Print_Area" localSheetId="112">'42-2'!$A$1:$O$25</definedName>
    <definedName name="_xlnm.Print_Area" localSheetId="114">'42-3'!$A$1:$O$25</definedName>
    <definedName name="_xlnm.Print_Area" localSheetId="116">'43-1'!$A$1:$L$22</definedName>
    <definedName name="_xlnm.Print_Area" localSheetId="117">'43-2'!$A$1:$L$22</definedName>
    <definedName name="_xlnm.Print_Area" localSheetId="118">'43-3'!$A$1:$L$22</definedName>
    <definedName name="_xlnm.Print_Area" localSheetId="119">'44'!$A$1:$N$18</definedName>
    <definedName name="_xlnm.Print_Area" localSheetId="121">'45'!$A$1:$L$21</definedName>
    <definedName name="_xlnm.Print_Area" localSheetId="122">'46'!$A$1:$E$15</definedName>
    <definedName name="_xlnm.Print_Area" localSheetId="123">'47'!$A$1:$E$15</definedName>
    <definedName name="_xlnm.Print_Area" localSheetId="17">'5'!$A$1:$N$18</definedName>
    <definedName name="_xlnm.Print_Area" localSheetId="19">'6'!$A$1:$Y$31</definedName>
    <definedName name="_xlnm.Print_Area" localSheetId="21">'7'!$A$1:$H$19</definedName>
    <definedName name="_xlnm.Print_Area" localSheetId="22">'8'!$A$1:$J$15</definedName>
    <definedName name="_xlnm.Print_Area" localSheetId="24">'9'!$A$1:$Q$14</definedName>
    <definedName name="_xlnm.Print_Area" localSheetId="3">Cont.!$A$1:$D$102</definedName>
    <definedName name="_xlnm.Print_Area" localSheetId="4">ConT.GR!$A$1:$D$28</definedName>
    <definedName name="_xlnm.Print_Area" localSheetId="1">Cover!$A$1:$D$27</definedName>
    <definedName name="_xlnm.Print_Area" localSheetId="7">Def.!$A$1:$E$18</definedName>
    <definedName name="_xlnm.Print_Area" localSheetId="11">'GR-1'!$A$1:$M$37</definedName>
    <definedName name="_xlnm.Print_Area" localSheetId="57">'GR-10'!$A$1:$M$34</definedName>
    <definedName name="_xlnm.Print_Area" localSheetId="59">'GR11'!$A$1:$K$59</definedName>
    <definedName name="_xlnm.Print_Area" localSheetId="61">'GR12'!$A$1:$N$37</definedName>
    <definedName name="_xlnm.Print_Area" localSheetId="63">'GR13'!$A$1:$M$34</definedName>
    <definedName name="_xlnm.Print_Area" localSheetId="64">'GR14'!$A$1:$M$33</definedName>
    <definedName name="_xlnm.Print_Area" localSheetId="91">'GR15'!$A$1:$N$36</definedName>
    <definedName name="_xlnm.Print_Area" localSheetId="96">'GR16'!$A$1:$N$35</definedName>
    <definedName name="_xlnm.Print_Area" localSheetId="103">'GR17'!$A$1:$N$37</definedName>
    <definedName name="_xlnm.Print_Area" localSheetId="105">'GR18'!$A$1:$N$37</definedName>
    <definedName name="_xlnm.Print_Area" localSheetId="107">'GR19'!$A$1:$N$37</definedName>
    <definedName name="_xlnm.Print_Area" localSheetId="14">'GR-2'!$A$1:$M$36</definedName>
    <definedName name="_xlnm.Print_Area" localSheetId="109">'GR20'!$A$1:$N$36</definedName>
    <definedName name="_xlnm.Print_Area" localSheetId="111">'GR21'!$A$1:$N$37</definedName>
    <definedName name="_xlnm.Print_Area" localSheetId="113">'GR22'!$A$1:$N$37</definedName>
    <definedName name="_xlnm.Print_Area" localSheetId="115">'GR23'!$A$1:$N$37</definedName>
    <definedName name="_xlnm.Print_Area" localSheetId="120">'GR24'!$A$1:$M$33</definedName>
    <definedName name="_xlnm.Print_Area" localSheetId="16">'GR-3'!$A$1:$M$34</definedName>
    <definedName name="_xlnm.Print_Area" localSheetId="18">'GR-4'!$A$1:$M$34</definedName>
    <definedName name="_xlnm.Print_Area" localSheetId="20">'GR-5'!$A$1:$J$55</definedName>
    <definedName name="_xlnm.Print_Area" localSheetId="23">'GR-6'!$A$1:$M$31</definedName>
    <definedName name="_xlnm.Print_Area" localSheetId="44">'GR-7'!$A$1:$M$33</definedName>
    <definedName name="_xlnm.Print_Area" localSheetId="48">'GR-8 '!$A$1:$N$34</definedName>
    <definedName name="_xlnm.Print_Area" localSheetId="54">'GR9'!$A$1:$M$33</definedName>
    <definedName name="_xlnm.Print_Area" localSheetId="125">'الزواج Marriage'!$A$1:$H$30</definedName>
    <definedName name="_xlnm.Print_Area" localSheetId="126">'الطلاق Divorces'!$A$1:$H$30</definedName>
    <definedName name="_xlnm.Print_Area" localSheetId="8">المؤشرات!$A$1:$F$32</definedName>
    <definedName name="_xlnm.Print_Titles" localSheetId="3">Cont.!$1:$3</definedName>
    <definedName name="_xlnm.Print_Titles" localSheetId="4">ConT.GR!$1:$3</definedName>
  </definedNames>
  <calcPr calcId="145621"/>
</workbook>
</file>

<file path=xl/calcChain.xml><?xml version="1.0" encoding="utf-8"?>
<calcChain xmlns="http://schemas.openxmlformats.org/spreadsheetml/2006/main">
  <c r="L18" i="20" l="1"/>
  <c r="J18" i="20"/>
  <c r="L18" i="59"/>
  <c r="J18" i="59"/>
  <c r="E11" i="14" l="1"/>
  <c r="E12" i="14"/>
  <c r="E13" i="14"/>
  <c r="E14" i="14"/>
  <c r="E15" i="14"/>
  <c r="E16" i="14"/>
  <c r="E17" i="14"/>
  <c r="E18" i="14"/>
  <c r="E19" i="14"/>
  <c r="E10" i="14"/>
  <c r="C11" i="14"/>
  <c r="C12" i="14"/>
  <c r="C13" i="14"/>
  <c r="C14" i="14"/>
  <c r="C15" i="14"/>
  <c r="C16" i="14"/>
  <c r="C17" i="14"/>
  <c r="C18" i="14"/>
  <c r="C19" i="14"/>
  <c r="C10" i="14"/>
  <c r="K11" i="14"/>
  <c r="K12" i="14"/>
  <c r="K13" i="14"/>
  <c r="K14" i="14"/>
  <c r="K15" i="14"/>
  <c r="K16" i="14"/>
  <c r="K17" i="14"/>
  <c r="K18" i="14"/>
  <c r="K19" i="14"/>
  <c r="K10" i="14"/>
  <c r="I11" i="14"/>
  <c r="I12" i="14"/>
  <c r="I13" i="14"/>
  <c r="I14" i="14"/>
  <c r="I15" i="14"/>
  <c r="I16" i="14"/>
  <c r="I17" i="14"/>
  <c r="I18" i="14"/>
  <c r="I19" i="14"/>
  <c r="I10" i="14"/>
  <c r="B22" i="49" l="1"/>
  <c r="N22" i="49"/>
  <c r="M22" i="49"/>
  <c r="L22" i="49"/>
  <c r="K22" i="49"/>
  <c r="J22" i="49"/>
  <c r="I22" i="49"/>
  <c r="H22" i="49"/>
  <c r="G22" i="49"/>
  <c r="F22" i="49"/>
  <c r="E22" i="49"/>
  <c r="D22" i="49"/>
  <c r="C22" i="49"/>
  <c r="B29" i="50" l="1"/>
  <c r="B28" i="50"/>
  <c r="B32" i="115"/>
  <c r="C27" i="109"/>
  <c r="B37" i="109"/>
  <c r="B28" i="109"/>
  <c r="B27" i="109"/>
  <c r="J21" i="100"/>
  <c r="J21" i="98"/>
  <c r="K20" i="98"/>
  <c r="J20" i="98"/>
  <c r="I20" i="98"/>
  <c r="H20" i="98"/>
  <c r="G20" i="98"/>
  <c r="F20" i="98"/>
  <c r="E20" i="98"/>
  <c r="D20" i="98"/>
  <c r="C20" i="98"/>
  <c r="B20" i="98"/>
  <c r="J18" i="96"/>
  <c r="K17" i="96"/>
  <c r="J17" i="96"/>
  <c r="I17" i="96"/>
  <c r="H17" i="96"/>
  <c r="G17" i="96"/>
  <c r="F17" i="96"/>
  <c r="E17" i="96"/>
  <c r="D17" i="96"/>
  <c r="C17" i="96"/>
  <c r="B17" i="96"/>
  <c r="J18" i="94"/>
  <c r="H15" i="91"/>
  <c r="B21" i="74" l="1"/>
  <c r="C21" i="74"/>
  <c r="K16" i="55"/>
  <c r="N22" i="48"/>
  <c r="K17" i="45"/>
  <c r="J18" i="45"/>
  <c r="D7" i="139" l="1"/>
  <c r="D8" i="139"/>
  <c r="D9" i="139"/>
  <c r="D10" i="139"/>
  <c r="D11" i="139"/>
  <c r="D12" i="139"/>
  <c r="D13" i="139"/>
  <c r="B23" i="54"/>
  <c r="C23" i="54"/>
  <c r="D23" i="54"/>
  <c r="E23" i="54"/>
  <c r="F23" i="54"/>
  <c r="G23" i="54"/>
  <c r="H23" i="54"/>
  <c r="I23" i="54"/>
  <c r="J23" i="54"/>
  <c r="K23" i="54"/>
  <c r="L23" i="54"/>
  <c r="M23" i="54"/>
  <c r="B23" i="53"/>
  <c r="C23" i="53"/>
  <c r="D23" i="53"/>
  <c r="E23" i="53"/>
  <c r="F23" i="53"/>
  <c r="G23" i="53"/>
  <c r="H23" i="53"/>
  <c r="I23" i="53"/>
  <c r="J23" i="53"/>
  <c r="K23" i="53"/>
  <c r="L23" i="53"/>
  <c r="M23" i="53"/>
  <c r="B23" i="52"/>
  <c r="C23" i="52"/>
  <c r="D23" i="52"/>
  <c r="E23" i="52"/>
  <c r="F23" i="52"/>
  <c r="G23" i="52"/>
  <c r="H23" i="52"/>
  <c r="I23" i="52"/>
  <c r="J23" i="52"/>
  <c r="K23" i="52"/>
  <c r="L23" i="52"/>
  <c r="M23" i="52"/>
  <c r="B22" i="50"/>
  <c r="C22" i="50"/>
  <c r="D22" i="50"/>
  <c r="E22" i="50"/>
  <c r="F22" i="50"/>
  <c r="G22" i="50"/>
  <c r="H22" i="50"/>
  <c r="I22" i="50"/>
  <c r="J22" i="50"/>
  <c r="K22" i="50"/>
  <c r="L22" i="50"/>
  <c r="M22" i="50"/>
  <c r="N22" i="50"/>
  <c r="B22" i="48"/>
  <c r="C22" i="48"/>
  <c r="D22" i="48"/>
  <c r="E22" i="48"/>
  <c r="F22" i="48"/>
  <c r="G22" i="48"/>
  <c r="H22" i="48"/>
  <c r="I22" i="48"/>
  <c r="J22" i="48"/>
  <c r="K22" i="48"/>
  <c r="L22" i="48"/>
  <c r="M22" i="48"/>
  <c r="B17" i="46"/>
  <c r="C17" i="46"/>
  <c r="D17" i="46"/>
  <c r="E17" i="46"/>
  <c r="F17" i="46"/>
  <c r="G17" i="46"/>
  <c r="H17" i="46"/>
  <c r="I17" i="46"/>
  <c r="J17" i="46"/>
  <c r="B17" i="45"/>
  <c r="C17" i="45"/>
  <c r="D17" i="45"/>
  <c r="E17" i="45"/>
  <c r="F17" i="45"/>
  <c r="G17" i="45"/>
  <c r="H17" i="45"/>
  <c r="I17" i="45"/>
  <c r="J17" i="45"/>
  <c r="B17" i="44"/>
  <c r="C17" i="44"/>
  <c r="D17" i="44"/>
  <c r="E17" i="44"/>
  <c r="F17" i="44"/>
  <c r="G17" i="44"/>
  <c r="H17" i="44"/>
  <c r="I17" i="44"/>
  <c r="J17" i="44"/>
  <c r="B18" i="43"/>
  <c r="C18" i="43"/>
  <c r="D18" i="43"/>
  <c r="E18" i="43"/>
  <c r="B18" i="42"/>
  <c r="C18" i="42"/>
  <c r="D18" i="42"/>
  <c r="E18" i="42"/>
  <c r="B18" i="41"/>
  <c r="C18" i="41"/>
  <c r="D18" i="41"/>
  <c r="E18" i="41"/>
  <c r="B20" i="40"/>
  <c r="C20" i="40"/>
  <c r="D20" i="40"/>
  <c r="E20" i="40"/>
  <c r="F20" i="40"/>
  <c r="B20" i="39"/>
  <c r="C20" i="39"/>
  <c r="D20" i="39"/>
  <c r="E20" i="39"/>
  <c r="F20" i="39"/>
  <c r="B20" i="38"/>
  <c r="C20" i="38"/>
  <c r="D20" i="38"/>
  <c r="E20" i="38"/>
  <c r="F20" i="38"/>
  <c r="B23" i="37"/>
  <c r="C23" i="37"/>
  <c r="D23" i="37"/>
  <c r="E23" i="37"/>
  <c r="F23" i="37"/>
  <c r="G23" i="37"/>
  <c r="B23" i="36"/>
  <c r="C23" i="36"/>
  <c r="D23" i="36"/>
  <c r="E23" i="36"/>
  <c r="F23" i="36"/>
  <c r="G23" i="36"/>
  <c r="B23" i="35"/>
  <c r="C23" i="35"/>
  <c r="D23" i="35"/>
  <c r="E23" i="35"/>
  <c r="F23" i="35"/>
  <c r="G23" i="35"/>
  <c r="B23" i="34"/>
  <c r="C23" i="34"/>
  <c r="D23" i="34"/>
  <c r="E23" i="34"/>
  <c r="F23" i="34"/>
  <c r="G23" i="34"/>
  <c r="B23" i="33"/>
  <c r="C23" i="33"/>
  <c r="D23" i="33"/>
  <c r="E23" i="33"/>
  <c r="F23" i="33"/>
  <c r="G23" i="33"/>
  <c r="B23" i="32"/>
  <c r="C23" i="32"/>
  <c r="D23" i="32"/>
  <c r="E23" i="32"/>
  <c r="F23" i="32"/>
  <c r="G23" i="32"/>
  <c r="B23" i="31"/>
  <c r="C23" i="31"/>
  <c r="D23" i="31"/>
  <c r="E23" i="31"/>
  <c r="F23" i="31"/>
  <c r="G23" i="31"/>
  <c r="H23" i="31"/>
  <c r="I23" i="31"/>
  <c r="J23" i="31"/>
  <c r="K23" i="31"/>
  <c r="L23" i="31"/>
  <c r="M23" i="31"/>
  <c r="B23" i="30"/>
  <c r="C23" i="30"/>
  <c r="D23" i="30"/>
  <c r="E23" i="30"/>
  <c r="F23" i="30"/>
  <c r="G23" i="30"/>
  <c r="H23" i="30"/>
  <c r="I23" i="30"/>
  <c r="J23" i="30"/>
  <c r="K23" i="30"/>
  <c r="L23" i="30"/>
  <c r="M23" i="30"/>
  <c r="B23" i="29"/>
  <c r="C23" i="29"/>
  <c r="D23" i="29"/>
  <c r="E23" i="29"/>
  <c r="F23" i="29"/>
  <c r="G23" i="29"/>
  <c r="H23" i="29"/>
  <c r="I23" i="29"/>
  <c r="J23" i="29"/>
  <c r="K23" i="29"/>
  <c r="L23" i="29"/>
  <c r="M23" i="29"/>
  <c r="B14" i="28"/>
  <c r="C14" i="28"/>
  <c r="D14" i="28"/>
  <c r="E14" i="28"/>
  <c r="F14" i="28"/>
  <c r="G14" i="28"/>
  <c r="H14" i="28"/>
  <c r="I14" i="28"/>
  <c r="J14" i="28"/>
  <c r="K14" i="28"/>
  <c r="L14" i="28"/>
  <c r="M14" i="28"/>
  <c r="B14" i="27"/>
  <c r="C14" i="27"/>
  <c r="D14" i="27"/>
  <c r="E14" i="27"/>
  <c r="F14" i="27"/>
  <c r="G14" i="27"/>
  <c r="H14" i="27"/>
  <c r="I14" i="27"/>
  <c r="J14" i="27"/>
  <c r="K14" i="27"/>
  <c r="L14" i="27"/>
  <c r="M14" i="27"/>
  <c r="N14" i="27"/>
  <c r="O14" i="27"/>
  <c r="P14" i="27"/>
  <c r="B19" i="24"/>
  <c r="C19" i="24"/>
  <c r="D19" i="24"/>
  <c r="E19" i="24"/>
  <c r="F19" i="24"/>
  <c r="G19" i="24"/>
  <c r="B22" i="91" l="1"/>
  <c r="B30" i="65" l="1"/>
  <c r="A25" i="65"/>
  <c r="E25" i="65"/>
  <c r="D25" i="65"/>
  <c r="C25" i="65"/>
  <c r="B25" i="65"/>
  <c r="L17" i="59"/>
  <c r="J17" i="59"/>
  <c r="K17" i="59" s="1"/>
  <c r="L16" i="59"/>
  <c r="M16" i="59" s="1"/>
  <c r="J16" i="59"/>
  <c r="K16" i="59" s="1"/>
  <c r="I16" i="59"/>
  <c r="G16" i="59"/>
  <c r="E16" i="59"/>
  <c r="C16" i="59"/>
  <c r="L15" i="59"/>
  <c r="J15" i="59"/>
  <c r="L14" i="59"/>
  <c r="J14" i="59"/>
  <c r="L13" i="59"/>
  <c r="J13" i="59"/>
  <c r="L12" i="59"/>
  <c r="J12" i="59"/>
  <c r="L11" i="59"/>
  <c r="J11" i="59"/>
  <c r="L10" i="59"/>
  <c r="J10" i="59"/>
  <c r="L9" i="59"/>
  <c r="J9" i="59"/>
  <c r="C34" i="50"/>
  <c r="B34" i="50"/>
  <c r="L17" i="20"/>
  <c r="J17" i="20"/>
  <c r="L16" i="20"/>
  <c r="M16" i="20" s="1"/>
  <c r="J16" i="20"/>
  <c r="K16" i="20" s="1"/>
  <c r="I16" i="20"/>
  <c r="G16" i="20"/>
  <c r="E16" i="20"/>
  <c r="C16" i="20"/>
  <c r="L15" i="20"/>
  <c r="J15" i="20"/>
  <c r="L14" i="20"/>
  <c r="J14" i="20"/>
  <c r="L13" i="20"/>
  <c r="J13" i="20"/>
  <c r="L12" i="20"/>
  <c r="J12" i="20"/>
  <c r="L11" i="20"/>
  <c r="J11" i="20"/>
  <c r="L10" i="20"/>
  <c r="J10" i="20"/>
  <c r="L9" i="20"/>
  <c r="J9" i="20"/>
  <c r="E23" i="14"/>
  <c r="D23" i="14"/>
  <c r="C23" i="14"/>
  <c r="A23" i="14"/>
  <c r="B23" i="14"/>
  <c r="C14" i="139" l="1"/>
  <c r="B14" i="139"/>
  <c r="D14" i="139" l="1"/>
  <c r="K38" i="105"/>
  <c r="C36" i="109"/>
  <c r="C36" i="107"/>
  <c r="C41" i="115"/>
  <c r="C41" i="113"/>
  <c r="C41" i="111"/>
  <c r="C28" i="153" l="1"/>
  <c r="U10" i="153"/>
  <c r="N22" i="103" l="1"/>
  <c r="J20" i="122" l="1"/>
  <c r="U11" i="154" l="1"/>
  <c r="V11" i="154"/>
  <c r="U12" i="154"/>
  <c r="V12" i="154"/>
  <c r="U13" i="154"/>
  <c r="V13" i="154"/>
  <c r="U14" i="154"/>
  <c r="V14" i="154"/>
  <c r="U15" i="154"/>
  <c r="V15" i="154"/>
  <c r="U16" i="154"/>
  <c r="V16" i="154"/>
  <c r="U17" i="154"/>
  <c r="V17" i="154"/>
  <c r="U18" i="154"/>
  <c r="V18" i="154"/>
  <c r="U19" i="154"/>
  <c r="V19" i="154"/>
  <c r="U20" i="154"/>
  <c r="V20" i="154"/>
  <c r="U21" i="154"/>
  <c r="V21" i="154"/>
  <c r="U22" i="154"/>
  <c r="V22" i="154"/>
  <c r="U23" i="154"/>
  <c r="V23" i="154"/>
  <c r="U24" i="154"/>
  <c r="V24" i="154"/>
  <c r="U25" i="154"/>
  <c r="V25" i="154"/>
  <c r="U26" i="154"/>
  <c r="V26" i="154"/>
  <c r="U27" i="154"/>
  <c r="V27" i="154"/>
  <c r="V10" i="154"/>
  <c r="U10" i="154"/>
  <c r="V27" i="153"/>
  <c r="U27" i="153"/>
  <c r="V26" i="153"/>
  <c r="U26" i="153"/>
  <c r="V25" i="153"/>
  <c r="U25" i="153"/>
  <c r="V24" i="153"/>
  <c r="U24" i="153"/>
  <c r="V23" i="153"/>
  <c r="U23" i="153"/>
  <c r="V22" i="153"/>
  <c r="U22" i="153"/>
  <c r="V21" i="153"/>
  <c r="U21" i="153"/>
  <c r="V20" i="153"/>
  <c r="U20" i="153"/>
  <c r="V19" i="153"/>
  <c r="U19" i="153"/>
  <c r="V18" i="153"/>
  <c r="U18" i="153"/>
  <c r="V17" i="153"/>
  <c r="U17" i="153"/>
  <c r="V16" i="153"/>
  <c r="U16" i="153"/>
  <c r="V15" i="153"/>
  <c r="U15" i="153"/>
  <c r="V14" i="153"/>
  <c r="U14" i="153"/>
  <c r="V13" i="153"/>
  <c r="U13" i="153"/>
  <c r="V12" i="153"/>
  <c r="U12" i="153"/>
  <c r="V11" i="153"/>
  <c r="U11" i="153"/>
  <c r="V10" i="153"/>
  <c r="W27" i="154" l="1"/>
  <c r="W17" i="154"/>
  <c r="W13" i="154"/>
  <c r="W19" i="154"/>
  <c r="W15" i="154"/>
  <c r="W10" i="154"/>
  <c r="W20" i="154"/>
  <c r="W12" i="154"/>
  <c r="W26" i="154"/>
  <c r="W22" i="154"/>
  <c r="W18" i="154"/>
  <c r="W14" i="154"/>
  <c r="W25" i="154"/>
  <c r="W21" i="154"/>
  <c r="W16" i="154"/>
  <c r="W23" i="154"/>
  <c r="W11" i="154"/>
  <c r="W13" i="153"/>
  <c r="W14" i="153"/>
  <c r="W22" i="153"/>
  <c r="W19" i="153"/>
  <c r="W24" i="153"/>
  <c r="W23" i="153"/>
  <c r="W21" i="153"/>
  <c r="W10" i="153"/>
  <c r="W25" i="153"/>
  <c r="W18" i="153"/>
  <c r="W11" i="153"/>
  <c r="W15" i="153"/>
  <c r="W26" i="153"/>
  <c r="W17" i="153"/>
  <c r="W12" i="153"/>
  <c r="W27" i="153"/>
  <c r="W16" i="153"/>
  <c r="W20" i="153"/>
  <c r="W24" i="154"/>
  <c r="G14" i="25" l="1"/>
  <c r="F14" i="25"/>
  <c r="E14" i="25"/>
  <c r="D14" i="25"/>
  <c r="C14" i="25"/>
  <c r="B14" i="25"/>
  <c r="D28" i="153" l="1"/>
  <c r="E28" i="153"/>
  <c r="F28" i="153"/>
  <c r="G28" i="153"/>
  <c r="H28" i="153"/>
  <c r="I28" i="153"/>
  <c r="J28" i="153"/>
  <c r="K28" i="153"/>
  <c r="L28" i="153"/>
  <c r="M28" i="153"/>
  <c r="N28" i="153"/>
  <c r="O28" i="153"/>
  <c r="P28" i="153"/>
  <c r="Q28" i="153"/>
  <c r="R28" i="153"/>
  <c r="S28" i="153"/>
  <c r="T28" i="153"/>
  <c r="B40" i="50" l="1"/>
  <c r="C33" i="50"/>
  <c r="B33" i="50"/>
  <c r="C32" i="50"/>
  <c r="B32" i="50"/>
  <c r="C31" i="50"/>
  <c r="B31" i="50"/>
  <c r="C30" i="50"/>
  <c r="B30" i="50"/>
  <c r="C29" i="50"/>
  <c r="C28" i="50"/>
  <c r="C43" i="50"/>
  <c r="B43" i="50"/>
  <c r="C42" i="50"/>
  <c r="B42" i="50"/>
  <c r="C41" i="50"/>
  <c r="B41" i="50"/>
  <c r="C40" i="50"/>
  <c r="B40" i="103"/>
  <c r="B34" i="103"/>
  <c r="B33" i="103"/>
  <c r="B32" i="103"/>
  <c r="B31" i="103"/>
  <c r="B30" i="103"/>
  <c r="B29" i="103"/>
  <c r="B28" i="103"/>
  <c r="B43" i="103"/>
  <c r="B42" i="103"/>
  <c r="B41" i="103"/>
  <c r="B44" i="103" l="1"/>
  <c r="B35" i="103" s="1"/>
  <c r="B44" i="50"/>
  <c r="B35" i="50" s="1"/>
  <c r="C44" i="50"/>
  <c r="C35" i="50" s="1"/>
  <c r="C36" i="50" s="1"/>
  <c r="B36" i="50"/>
  <c r="D36" i="50" l="1"/>
  <c r="C29" i="153"/>
  <c r="D14" i="138" l="1"/>
  <c r="C14" i="138"/>
  <c r="B14" i="138"/>
  <c r="B20" i="122" l="1"/>
  <c r="T29" i="154" l="1"/>
  <c r="S29" i="154"/>
  <c r="R29" i="154"/>
  <c r="Q29" i="154"/>
  <c r="P29" i="154"/>
  <c r="O29" i="154"/>
  <c r="N29" i="154"/>
  <c r="M29" i="154"/>
  <c r="L29" i="154"/>
  <c r="K29" i="154"/>
  <c r="J29" i="154"/>
  <c r="I29" i="154"/>
  <c r="H29" i="154"/>
  <c r="G29" i="154"/>
  <c r="F29" i="154"/>
  <c r="E29" i="154"/>
  <c r="D29" i="154"/>
  <c r="C29" i="154"/>
  <c r="T28" i="154"/>
  <c r="S28" i="154"/>
  <c r="R28" i="154"/>
  <c r="Q28" i="154"/>
  <c r="P28" i="154"/>
  <c r="O28" i="154"/>
  <c r="N28" i="154"/>
  <c r="M28" i="154"/>
  <c r="L28" i="154"/>
  <c r="K28" i="154"/>
  <c r="J28" i="154"/>
  <c r="I28" i="154"/>
  <c r="H28" i="154"/>
  <c r="G28" i="154"/>
  <c r="F28" i="154"/>
  <c r="E28" i="154"/>
  <c r="D28" i="154"/>
  <c r="C28" i="154"/>
  <c r="T29" i="153"/>
  <c r="T30" i="153" s="1"/>
  <c r="S29" i="153"/>
  <c r="S30" i="153" s="1"/>
  <c r="R29" i="153"/>
  <c r="R30" i="153" s="1"/>
  <c r="Q29" i="153"/>
  <c r="Q30" i="153" s="1"/>
  <c r="P29" i="153"/>
  <c r="P30" i="153" s="1"/>
  <c r="O29" i="153"/>
  <c r="O30" i="153" s="1"/>
  <c r="N29" i="153"/>
  <c r="N30" i="153" s="1"/>
  <c r="M29" i="153"/>
  <c r="M30" i="153" s="1"/>
  <c r="L29" i="153"/>
  <c r="L30" i="153" s="1"/>
  <c r="K29" i="153"/>
  <c r="K30" i="153" s="1"/>
  <c r="J29" i="153"/>
  <c r="J30" i="153" s="1"/>
  <c r="I29" i="153"/>
  <c r="I30" i="153" s="1"/>
  <c r="H29" i="153"/>
  <c r="H30" i="153" s="1"/>
  <c r="G29" i="153"/>
  <c r="G30" i="153" s="1"/>
  <c r="F29" i="153"/>
  <c r="F30" i="153" s="1"/>
  <c r="E29" i="153"/>
  <c r="E30" i="153" s="1"/>
  <c r="D29" i="153"/>
  <c r="D30" i="153" s="1"/>
  <c r="C30" i="153"/>
  <c r="V29" i="153"/>
  <c r="Q30" i="154" l="1"/>
  <c r="I30" i="154"/>
  <c r="J30" i="154"/>
  <c r="R30" i="154"/>
  <c r="C30" i="154"/>
  <c r="K30" i="154"/>
  <c r="S30" i="154"/>
  <c r="G30" i="154"/>
  <c r="H30" i="154"/>
  <c r="P30" i="154"/>
  <c r="F30" i="154"/>
  <c r="N30" i="154"/>
  <c r="O30" i="154"/>
  <c r="U28" i="153"/>
  <c r="U29" i="153"/>
  <c r="V28" i="153"/>
  <c r="V30" i="153" s="1"/>
  <c r="U29" i="154"/>
  <c r="U28" i="154"/>
  <c r="D30" i="154"/>
  <c r="L30" i="154"/>
  <c r="T30" i="154"/>
  <c r="V28" i="154"/>
  <c r="E30" i="154"/>
  <c r="M30" i="154"/>
  <c r="V29" i="154"/>
  <c r="V30" i="154" l="1"/>
  <c r="U30" i="153"/>
  <c r="W29" i="154"/>
  <c r="U30" i="154"/>
  <c r="W28" i="153"/>
  <c r="W29" i="153"/>
  <c r="W28" i="154"/>
  <c r="W30" i="154" l="1"/>
  <c r="W30" i="153"/>
  <c r="C22" i="103" l="1"/>
  <c r="C31" i="103" s="1"/>
  <c r="D22" i="103"/>
  <c r="C32" i="103" s="1"/>
  <c r="E22" i="103"/>
  <c r="C28" i="103" s="1"/>
  <c r="G22" i="103"/>
  <c r="C42" i="103" s="1"/>
  <c r="J22" i="103"/>
  <c r="C29" i="103" s="1"/>
  <c r="K22" i="103"/>
  <c r="C43" i="103" s="1"/>
  <c r="M22" i="103"/>
  <c r="C34" i="103" s="1"/>
  <c r="B22" i="103"/>
  <c r="C33" i="103" s="1"/>
  <c r="F22" i="103"/>
  <c r="C30" i="103" s="1"/>
  <c r="H22" i="103"/>
  <c r="C40" i="103" s="1"/>
  <c r="I22" i="103"/>
  <c r="C41" i="103" s="1"/>
  <c r="L22" i="103" l="1"/>
  <c r="B28" i="96" l="1"/>
  <c r="C27" i="63"/>
  <c r="B28" i="63"/>
  <c r="B27" i="63"/>
  <c r="C32" i="115"/>
  <c r="M23" i="111"/>
  <c r="A26" i="65" l="1"/>
  <c r="J17" i="95"/>
  <c r="C17" i="95"/>
  <c r="D17" i="95"/>
  <c r="E17" i="95"/>
  <c r="F17" i="95"/>
  <c r="G17" i="95"/>
  <c r="H17" i="95"/>
  <c r="I17" i="95"/>
  <c r="B17" i="95"/>
  <c r="C28" i="96"/>
  <c r="F21" i="75"/>
  <c r="F20" i="71"/>
  <c r="B20" i="71"/>
  <c r="B20" i="119"/>
  <c r="C20" i="118"/>
  <c r="B20" i="118"/>
  <c r="J20" i="100"/>
  <c r="C20" i="100"/>
  <c r="D20" i="100"/>
  <c r="E20" i="100"/>
  <c r="F20" i="100"/>
  <c r="G20" i="100"/>
  <c r="H20" i="100"/>
  <c r="I20" i="100"/>
  <c r="B20" i="100"/>
  <c r="C20" i="99"/>
  <c r="D20" i="99"/>
  <c r="E20" i="99"/>
  <c r="F20" i="99"/>
  <c r="G20" i="99"/>
  <c r="H20" i="99"/>
  <c r="I20" i="99"/>
  <c r="J20" i="99"/>
  <c r="B20" i="99"/>
  <c r="B20" i="117"/>
  <c r="I21" i="142" l="1"/>
  <c r="B21" i="142"/>
  <c r="D20" i="71"/>
  <c r="F20" i="63"/>
  <c r="D20" i="63"/>
  <c r="D17" i="126" l="1"/>
  <c r="E17" i="126"/>
  <c r="F17" i="126"/>
  <c r="G17" i="126"/>
  <c r="H17" i="126"/>
  <c r="I17" i="126"/>
  <c r="J17" i="126"/>
  <c r="D16" i="126"/>
  <c r="E16" i="126"/>
  <c r="F16" i="126"/>
  <c r="G16" i="126"/>
  <c r="H16" i="126"/>
  <c r="I16" i="126"/>
  <c r="J16" i="126"/>
  <c r="C20" i="122"/>
  <c r="C17" i="126"/>
  <c r="C16" i="126"/>
  <c r="K9" i="126"/>
  <c r="K8" i="126"/>
  <c r="J23" i="93" l="1"/>
  <c r="H23" i="93"/>
  <c r="N23" i="80"/>
  <c r="I23" i="80"/>
  <c r="C21" i="77"/>
  <c r="B21" i="77"/>
  <c r="I8" i="140"/>
  <c r="D19" i="140"/>
  <c r="E19" i="140"/>
  <c r="F19" i="140"/>
  <c r="G16" i="140"/>
  <c r="G17" i="140"/>
  <c r="C19" i="140"/>
  <c r="C23" i="69"/>
  <c r="H16" i="56"/>
  <c r="D16" i="56"/>
  <c r="F17" i="55"/>
  <c r="D17" i="55"/>
  <c r="I16" i="55"/>
  <c r="G19" i="140" l="1"/>
  <c r="H19" i="140"/>
  <c r="C22" i="102" l="1"/>
  <c r="D22" i="102"/>
  <c r="E22" i="102"/>
  <c r="F22" i="102"/>
  <c r="G22" i="102"/>
  <c r="H22" i="102"/>
  <c r="I22" i="102"/>
  <c r="J22" i="102"/>
  <c r="K22" i="102"/>
  <c r="L22" i="102"/>
  <c r="M22" i="102"/>
  <c r="N22" i="102"/>
  <c r="B22" i="102"/>
  <c r="N22" i="101"/>
  <c r="K10" i="126"/>
  <c r="K11" i="126"/>
  <c r="K12" i="126"/>
  <c r="K13" i="126"/>
  <c r="K14" i="126"/>
  <c r="K15" i="126"/>
  <c r="K16" i="126" l="1"/>
  <c r="L12" i="126" s="1"/>
  <c r="K17" i="126"/>
  <c r="L13" i="126"/>
  <c r="J22" i="101"/>
  <c r="K22" i="101"/>
  <c r="M22" i="101"/>
  <c r="L22" i="101"/>
  <c r="L10" i="126" l="1"/>
  <c r="L11" i="126"/>
  <c r="L14" i="126"/>
  <c r="L15" i="126"/>
  <c r="L8" i="126"/>
  <c r="L9" i="126"/>
  <c r="J20" i="119"/>
  <c r="J20" i="118"/>
  <c r="J20" i="117"/>
  <c r="K9" i="117" s="1"/>
  <c r="M23" i="107"/>
  <c r="B20" i="85"/>
  <c r="L20" i="85"/>
  <c r="F23" i="77"/>
  <c r="J21" i="142"/>
  <c r="L16" i="126" l="1"/>
  <c r="L17" i="126"/>
  <c r="K21" i="142"/>
  <c r="B14" i="65"/>
  <c r="C21" i="142" l="1"/>
  <c r="D21" i="142"/>
  <c r="E21" i="142"/>
  <c r="F21" i="142"/>
  <c r="G21" i="142"/>
  <c r="H21" i="142"/>
  <c r="L21" i="142"/>
  <c r="M21" i="142" l="1"/>
  <c r="C21" i="79" l="1"/>
  <c r="D21" i="79"/>
  <c r="E21" i="79"/>
  <c r="F21" i="79"/>
  <c r="C21" i="78"/>
  <c r="D21" i="78"/>
  <c r="E21" i="78"/>
  <c r="F21" i="78"/>
  <c r="D21" i="77"/>
  <c r="E21" i="77"/>
  <c r="C21" i="76"/>
  <c r="D21" i="76"/>
  <c r="E21" i="76"/>
  <c r="F21" i="76"/>
  <c r="C21" i="75"/>
  <c r="D21" i="75"/>
  <c r="E21" i="75"/>
  <c r="G21" i="75"/>
  <c r="G22" i="75" s="1"/>
  <c r="D21" i="74"/>
  <c r="E21" i="74"/>
  <c r="F21" i="74"/>
  <c r="G21" i="74"/>
  <c r="G22" i="74" s="1"/>
  <c r="B23" i="68"/>
  <c r="M23" i="109"/>
  <c r="C23" i="109"/>
  <c r="D23" i="109"/>
  <c r="E23" i="109"/>
  <c r="F23" i="109"/>
  <c r="G23" i="109"/>
  <c r="H23" i="109"/>
  <c r="I23" i="109"/>
  <c r="J23" i="109"/>
  <c r="K23" i="109"/>
  <c r="B36" i="109" s="1"/>
  <c r="L23" i="109"/>
  <c r="B23" i="109"/>
  <c r="U23" i="105"/>
  <c r="K23" i="105"/>
  <c r="L23" i="105"/>
  <c r="M23" i="105"/>
  <c r="N23" i="105"/>
  <c r="O23" i="105"/>
  <c r="P23" i="105"/>
  <c r="Q23" i="105"/>
  <c r="R23" i="105"/>
  <c r="S23" i="105"/>
  <c r="J38" i="105" s="1"/>
  <c r="T23" i="105"/>
  <c r="J23" i="105"/>
  <c r="C22" i="75" l="1"/>
  <c r="D22" i="75"/>
  <c r="F22" i="75"/>
  <c r="E22" i="74"/>
  <c r="D22" i="74"/>
  <c r="C22" i="74"/>
  <c r="F22" i="74"/>
  <c r="E22" i="75"/>
  <c r="G21" i="79"/>
  <c r="G22" i="79" s="1"/>
  <c r="G21" i="78"/>
  <c r="G22" i="78" s="1"/>
  <c r="D22" i="79" l="1"/>
  <c r="F22" i="79"/>
  <c r="E22" i="79"/>
  <c r="C22" i="79"/>
  <c r="D22" i="78"/>
  <c r="E22" i="78"/>
  <c r="F22" i="78"/>
  <c r="C22" i="78"/>
  <c r="G21" i="77"/>
  <c r="B21" i="76"/>
  <c r="G21" i="76"/>
  <c r="I11" i="140"/>
  <c r="I10" i="140"/>
  <c r="I9" i="140"/>
  <c r="F20" i="73"/>
  <c r="F20" i="72"/>
  <c r="G20" i="71"/>
  <c r="G23" i="69"/>
  <c r="H9" i="77" l="1"/>
  <c r="H18" i="77"/>
  <c r="G22" i="77"/>
  <c r="C22" i="77"/>
  <c r="F22" i="77"/>
  <c r="E22" i="77"/>
  <c r="D22" i="77"/>
  <c r="D22" i="76"/>
  <c r="C22" i="76"/>
  <c r="E22" i="76"/>
  <c r="F22" i="76"/>
  <c r="B22" i="76"/>
  <c r="G14" i="65" l="1"/>
  <c r="E26" i="65"/>
  <c r="F23" i="70"/>
  <c r="F23" i="69"/>
  <c r="F23" i="68"/>
  <c r="H9" i="65" l="1"/>
  <c r="H8" i="65"/>
  <c r="F15" i="65"/>
  <c r="C44" i="103" l="1"/>
  <c r="C35" i="103" s="1"/>
  <c r="C22" i="101"/>
  <c r="D22" i="101"/>
  <c r="E22" i="101"/>
  <c r="F22" i="101"/>
  <c r="G22" i="101"/>
  <c r="H22" i="101"/>
  <c r="I22" i="101"/>
  <c r="B22" i="101"/>
  <c r="C36" i="103" l="1"/>
  <c r="B23" i="126" l="1"/>
  <c r="K29" i="105"/>
  <c r="B36" i="103" l="1"/>
  <c r="C26" i="65"/>
  <c r="B26" i="65"/>
  <c r="I9" i="41"/>
  <c r="J8" i="41"/>
  <c r="J9" i="41"/>
  <c r="I8" i="41"/>
  <c r="D36" i="103" l="1"/>
  <c r="N20" i="83"/>
  <c r="M20" i="83"/>
  <c r="L20" i="83"/>
  <c r="K20" i="83"/>
  <c r="J20" i="83"/>
  <c r="I20" i="83"/>
  <c r="H20" i="83"/>
  <c r="G20" i="83"/>
  <c r="F20" i="83"/>
  <c r="E20" i="83"/>
  <c r="D20" i="83"/>
  <c r="C20" i="83"/>
  <c r="B20" i="83"/>
  <c r="N20" i="84"/>
  <c r="M20" i="84"/>
  <c r="L20" i="84"/>
  <c r="K20" i="84"/>
  <c r="J20" i="84"/>
  <c r="I20" i="84"/>
  <c r="H20" i="84"/>
  <c r="G20" i="84"/>
  <c r="F20" i="84"/>
  <c r="E20" i="84"/>
  <c r="D20" i="84"/>
  <c r="C20" i="84"/>
  <c r="B20" i="84"/>
  <c r="I17" i="140"/>
  <c r="I16" i="140"/>
  <c r="G20" i="73"/>
  <c r="H19" i="73" s="1"/>
  <c r="E20" i="73"/>
  <c r="D20" i="73"/>
  <c r="C20" i="73"/>
  <c r="B20" i="73"/>
  <c r="H20" i="75"/>
  <c r="B21" i="75"/>
  <c r="H18" i="71"/>
  <c r="E20" i="71"/>
  <c r="C20" i="71"/>
  <c r="H11" i="73" l="1"/>
  <c r="H9" i="73"/>
  <c r="H12" i="73"/>
  <c r="H10" i="73"/>
  <c r="H14" i="73"/>
  <c r="H16" i="73"/>
  <c r="H13" i="73"/>
  <c r="H18" i="73"/>
  <c r="H15" i="73"/>
  <c r="H10" i="75"/>
  <c r="H9" i="75"/>
  <c r="B22" i="75"/>
  <c r="H18" i="75"/>
  <c r="H12" i="71"/>
  <c r="H19" i="71"/>
  <c r="H17" i="73"/>
  <c r="H17" i="75"/>
  <c r="H13" i="75"/>
  <c r="H14" i="75"/>
  <c r="H11" i="75"/>
  <c r="H15" i="75"/>
  <c r="H19" i="75"/>
  <c r="H12" i="75"/>
  <c r="H16" i="75"/>
  <c r="H11" i="71"/>
  <c r="H16" i="71"/>
  <c r="H15" i="71"/>
  <c r="H9" i="71"/>
  <c r="H13" i="71"/>
  <c r="H17" i="71"/>
  <c r="H10" i="71"/>
  <c r="H14" i="71"/>
  <c r="H20" i="73" l="1"/>
  <c r="H21" i="75"/>
  <c r="H20" i="71"/>
  <c r="B21" i="78"/>
  <c r="H20" i="78" l="1"/>
  <c r="B22" i="78"/>
  <c r="H9" i="78"/>
  <c r="H14" i="78"/>
  <c r="H11" i="78"/>
  <c r="H15" i="78"/>
  <c r="H19" i="78"/>
  <c r="H13" i="78"/>
  <c r="H17" i="78"/>
  <c r="H10" i="78"/>
  <c r="H18" i="78"/>
  <c r="H12" i="78"/>
  <c r="H16" i="78"/>
  <c r="H21" i="78" l="1"/>
  <c r="C26" i="46"/>
  <c r="C27" i="46"/>
  <c r="C30" i="46"/>
  <c r="C31" i="46"/>
  <c r="K16" i="46"/>
  <c r="I18" i="45"/>
  <c r="K10" i="44"/>
  <c r="F24" i="35"/>
  <c r="C24" i="33"/>
  <c r="C26" i="126"/>
  <c r="B26" i="126"/>
  <c r="C25" i="126"/>
  <c r="B25" i="126"/>
  <c r="C24" i="126"/>
  <c r="B24" i="126"/>
  <c r="C23" i="126"/>
  <c r="E24" i="14"/>
  <c r="E25" i="14"/>
  <c r="E26" i="14"/>
  <c r="E27" i="14"/>
  <c r="E28" i="14"/>
  <c r="E29" i="14"/>
  <c r="E30" i="14"/>
  <c r="E31" i="14"/>
  <c r="E32" i="14"/>
  <c r="K10" i="46"/>
  <c r="K11" i="46"/>
  <c r="K9" i="46"/>
  <c r="K9" i="45"/>
  <c r="E20" i="122"/>
  <c r="I23" i="81"/>
  <c r="F23" i="80"/>
  <c r="K8" i="56"/>
  <c r="K8" i="55"/>
  <c r="I18" i="46"/>
  <c r="C18" i="46"/>
  <c r="B18" i="46"/>
  <c r="F24" i="32"/>
  <c r="K15" i="56"/>
  <c r="K10" i="56"/>
  <c r="B27" i="56" s="1"/>
  <c r="K9" i="56"/>
  <c r="C26" i="56" s="1"/>
  <c r="C42" i="115"/>
  <c r="C40" i="115"/>
  <c r="C39" i="115"/>
  <c r="C38" i="115"/>
  <c r="C37" i="115"/>
  <c r="C36" i="115"/>
  <c r="C35" i="115"/>
  <c r="C34" i="115"/>
  <c r="C33" i="115"/>
  <c r="C42" i="113"/>
  <c r="C33" i="113"/>
  <c r="C34" i="113"/>
  <c r="C35" i="113"/>
  <c r="C36" i="113"/>
  <c r="C37" i="113"/>
  <c r="C38" i="113"/>
  <c r="C39" i="113"/>
  <c r="C40" i="113"/>
  <c r="C32" i="113"/>
  <c r="C42" i="111"/>
  <c r="C32" i="111"/>
  <c r="B23" i="80"/>
  <c r="C33" i="46"/>
  <c r="B27" i="46"/>
  <c r="B28" i="46"/>
  <c r="B29" i="46"/>
  <c r="B30" i="46"/>
  <c r="B31" i="46"/>
  <c r="B32" i="46"/>
  <c r="B33" i="46"/>
  <c r="B26" i="46"/>
  <c r="C43" i="113" l="1"/>
  <c r="E24" i="32"/>
  <c r="E24" i="34"/>
  <c r="F24" i="34"/>
  <c r="D24" i="34"/>
  <c r="D18" i="44"/>
  <c r="D24" i="32"/>
  <c r="F18" i="44"/>
  <c r="G18" i="45"/>
  <c r="H18" i="46"/>
  <c r="E24" i="35"/>
  <c r="H18" i="45"/>
  <c r="C18" i="44"/>
  <c r="B24" i="34"/>
  <c r="B21" i="39"/>
  <c r="K11" i="44"/>
  <c r="C24" i="32"/>
  <c r="C24" i="34"/>
  <c r="B24" i="36"/>
  <c r="B21" i="38"/>
  <c r="F18" i="45"/>
  <c r="B18" i="45"/>
  <c r="K13" i="46"/>
  <c r="B24" i="35"/>
  <c r="B18" i="44"/>
  <c r="C18" i="45"/>
  <c r="D18" i="46"/>
  <c r="K12" i="46"/>
  <c r="C24" i="35"/>
  <c r="F18" i="46"/>
  <c r="K14" i="46"/>
  <c r="B24" i="33"/>
  <c r="B24" i="37"/>
  <c r="D18" i="45"/>
  <c r="E18" i="46"/>
  <c r="C32" i="46"/>
  <c r="G18" i="46"/>
  <c r="K15" i="46"/>
  <c r="B24" i="32"/>
  <c r="D24" i="35"/>
  <c r="E18" i="45"/>
  <c r="K12" i="44"/>
  <c r="E18" i="44"/>
  <c r="K14" i="44"/>
  <c r="C29" i="46"/>
  <c r="G18" i="44"/>
  <c r="C28" i="46"/>
  <c r="I18" i="44"/>
  <c r="K16" i="44"/>
  <c r="K13" i="44"/>
  <c r="K15" i="44"/>
  <c r="H18" i="44"/>
  <c r="K9" i="44"/>
  <c r="I15" i="140"/>
  <c r="I13" i="140"/>
  <c r="I14" i="140"/>
  <c r="I12" i="140"/>
  <c r="C43" i="115"/>
  <c r="A32" i="14"/>
  <c r="B32" i="14"/>
  <c r="C32" i="14"/>
  <c r="D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0" i="122"/>
  <c r="F20" i="122"/>
  <c r="G20" i="122"/>
  <c r="H20" i="122"/>
  <c r="I20" i="122"/>
  <c r="K20" i="122"/>
  <c r="G20" i="119"/>
  <c r="F20" i="119"/>
  <c r="C20" i="119"/>
  <c r="H20" i="119"/>
  <c r="I20" i="119"/>
  <c r="E20" i="119"/>
  <c r="D20" i="119"/>
  <c r="D20" i="118"/>
  <c r="E20" i="118"/>
  <c r="F20" i="118"/>
  <c r="G20" i="118"/>
  <c r="H20" i="118"/>
  <c r="I20" i="118"/>
  <c r="C20" i="117"/>
  <c r="D20" i="117"/>
  <c r="E20" i="117"/>
  <c r="F20" i="117"/>
  <c r="G20" i="117"/>
  <c r="H20" i="117"/>
  <c r="I20" i="117"/>
  <c r="D23" i="115"/>
  <c r="B34" i="115" s="1"/>
  <c r="E23" i="115"/>
  <c r="B35" i="115" s="1"/>
  <c r="F23" i="115"/>
  <c r="B36" i="115" s="1"/>
  <c r="G23" i="115"/>
  <c r="H23" i="115"/>
  <c r="B38" i="115" s="1"/>
  <c r="I23" i="115"/>
  <c r="B39" i="115" s="1"/>
  <c r="J23" i="115"/>
  <c r="B40" i="115" s="1"/>
  <c r="K23" i="115"/>
  <c r="B41" i="115" s="1"/>
  <c r="L23" i="115"/>
  <c r="B42" i="115" s="1"/>
  <c r="M23" i="115"/>
  <c r="C23" i="115"/>
  <c r="B33" i="115" s="1"/>
  <c r="B23" i="115"/>
  <c r="C23" i="113"/>
  <c r="B33" i="113" s="1"/>
  <c r="D23" i="113"/>
  <c r="E23" i="113"/>
  <c r="F23" i="113"/>
  <c r="G23" i="113"/>
  <c r="H23" i="113"/>
  <c r="I23" i="113"/>
  <c r="J23" i="113"/>
  <c r="K23" i="113"/>
  <c r="B41" i="113" s="1"/>
  <c r="L23" i="113"/>
  <c r="B42" i="113" s="1"/>
  <c r="M23" i="113"/>
  <c r="C23" i="111"/>
  <c r="D23" i="111"/>
  <c r="E23" i="111"/>
  <c r="F23" i="111"/>
  <c r="G23" i="111"/>
  <c r="H23" i="111"/>
  <c r="I23" i="111"/>
  <c r="J23" i="111"/>
  <c r="K23" i="111"/>
  <c r="B41" i="111" s="1"/>
  <c r="L23" i="111"/>
  <c r="B42" i="111" s="1"/>
  <c r="B23" i="107"/>
  <c r="C23" i="107"/>
  <c r="B23" i="93"/>
  <c r="C23" i="93"/>
  <c r="D23" i="93"/>
  <c r="E23" i="93"/>
  <c r="F23" i="93"/>
  <c r="I23" i="93"/>
  <c r="K23" i="93"/>
  <c r="L23" i="93"/>
  <c r="M23" i="93"/>
  <c r="G23" i="93"/>
  <c r="B14" i="91"/>
  <c r="C22" i="91" s="1"/>
  <c r="C14" i="91"/>
  <c r="D14" i="91"/>
  <c r="B14" i="90"/>
  <c r="C14" i="90"/>
  <c r="D14" i="90"/>
  <c r="E14" i="90"/>
  <c r="F14" i="90"/>
  <c r="G14" i="90"/>
  <c r="H14" i="90"/>
  <c r="I14" i="90"/>
  <c r="J14" i="90"/>
  <c r="K14" i="90"/>
  <c r="L14" i="90"/>
  <c r="M14" i="90"/>
  <c r="P14" i="89"/>
  <c r="B14" i="89"/>
  <c r="C14" i="89"/>
  <c r="D14" i="89"/>
  <c r="E14" i="89"/>
  <c r="F14" i="89"/>
  <c r="G14" i="89"/>
  <c r="H14" i="89"/>
  <c r="I14" i="89"/>
  <c r="J14" i="89"/>
  <c r="K14" i="89"/>
  <c r="L14" i="89"/>
  <c r="M14" i="89"/>
  <c r="N14" i="89"/>
  <c r="O14" i="89"/>
  <c r="G23" i="88"/>
  <c r="B23" i="88"/>
  <c r="J23" i="88"/>
  <c r="F23" i="88"/>
  <c r="K23" i="88"/>
  <c r="C23" i="88"/>
  <c r="I23" i="88"/>
  <c r="E23" i="88"/>
  <c r="L23" i="88"/>
  <c r="H23" i="88"/>
  <c r="D23" i="88"/>
  <c r="M23" i="88"/>
  <c r="B23" i="87"/>
  <c r="C23" i="87"/>
  <c r="D23" i="87"/>
  <c r="E23" i="87"/>
  <c r="F23" i="87"/>
  <c r="G23" i="87"/>
  <c r="H23" i="87"/>
  <c r="I23" i="87"/>
  <c r="J23" i="87"/>
  <c r="K23" i="87"/>
  <c r="L23" i="87"/>
  <c r="M23" i="87"/>
  <c r="B23" i="86"/>
  <c r="C23" i="86"/>
  <c r="D23" i="86"/>
  <c r="E23" i="86"/>
  <c r="F23" i="86"/>
  <c r="G23" i="86"/>
  <c r="H23" i="86"/>
  <c r="I23" i="86"/>
  <c r="J23" i="86"/>
  <c r="K23" i="86"/>
  <c r="L23" i="86"/>
  <c r="M23" i="86"/>
  <c r="G20" i="85"/>
  <c r="H20" i="85"/>
  <c r="C20" i="85"/>
  <c r="J20" i="85"/>
  <c r="F20" i="85"/>
  <c r="K20" i="85"/>
  <c r="D20" i="85"/>
  <c r="M20" i="85"/>
  <c r="I20" i="85"/>
  <c r="E20" i="85"/>
  <c r="N20" i="85"/>
  <c r="E23" i="82"/>
  <c r="H23" i="82"/>
  <c r="L23" i="82"/>
  <c r="D23" i="82"/>
  <c r="M23" i="82"/>
  <c r="I23" i="82"/>
  <c r="J23" i="82"/>
  <c r="F23" i="82"/>
  <c r="B23" i="82"/>
  <c r="K23" i="82"/>
  <c r="G23" i="82"/>
  <c r="C23" i="82"/>
  <c r="B23" i="81"/>
  <c r="C23" i="81"/>
  <c r="D23" i="81"/>
  <c r="E23" i="81"/>
  <c r="F23" i="81"/>
  <c r="G23" i="81"/>
  <c r="H23" i="81"/>
  <c r="J23" i="81"/>
  <c r="K23" i="81"/>
  <c r="L23" i="81"/>
  <c r="M23" i="81"/>
  <c r="C23" i="80"/>
  <c r="D23" i="80"/>
  <c r="E23" i="80"/>
  <c r="G23" i="80"/>
  <c r="H23" i="80"/>
  <c r="J23" i="80"/>
  <c r="K23" i="80"/>
  <c r="L23" i="80"/>
  <c r="M23" i="80"/>
  <c r="B21" i="79"/>
  <c r="B22" i="77"/>
  <c r="H9" i="74"/>
  <c r="G20" i="72"/>
  <c r="B20" i="72"/>
  <c r="C20" i="72"/>
  <c r="D20" i="72"/>
  <c r="E20" i="72"/>
  <c r="C23" i="70"/>
  <c r="B23" i="70"/>
  <c r="E23" i="70"/>
  <c r="D23" i="70"/>
  <c r="G23" i="70"/>
  <c r="B23" i="69"/>
  <c r="D23" i="69"/>
  <c r="E23" i="69"/>
  <c r="H13" i="69"/>
  <c r="C23" i="68"/>
  <c r="D23" i="68"/>
  <c r="E23" i="68"/>
  <c r="B15" i="65"/>
  <c r="B20" i="63"/>
  <c r="C20" i="63"/>
  <c r="E20" i="63"/>
  <c r="G20" i="63"/>
  <c r="B26" i="56"/>
  <c r="H14" i="25"/>
  <c r="G24" i="34" l="1"/>
  <c r="I8" i="25"/>
  <c r="I11" i="25"/>
  <c r="B15" i="25"/>
  <c r="H10" i="79"/>
  <c r="B22" i="74"/>
  <c r="D15" i="25"/>
  <c r="G24" i="32"/>
  <c r="F15" i="25"/>
  <c r="F24" i="113"/>
  <c r="G24" i="35"/>
  <c r="K17" i="46"/>
  <c r="J18" i="44"/>
  <c r="J18" i="46"/>
  <c r="K17" i="44"/>
  <c r="C15" i="25"/>
  <c r="B21" i="119"/>
  <c r="B21" i="118"/>
  <c r="B21" i="117"/>
  <c r="B37" i="115"/>
  <c r="B43" i="115" s="1"/>
  <c r="G24" i="115"/>
  <c r="G15" i="25"/>
  <c r="E15" i="25"/>
  <c r="I9" i="25"/>
  <c r="N16" i="113"/>
  <c r="B23" i="113"/>
  <c r="B32" i="113" s="1"/>
  <c r="N15" i="111"/>
  <c r="B23" i="111"/>
  <c r="C14" i="65"/>
  <c r="C15" i="65" s="1"/>
  <c r="D14" i="65"/>
  <c r="D15" i="65" s="1"/>
  <c r="E14" i="65"/>
  <c r="E15" i="65" s="1"/>
  <c r="K11" i="45"/>
  <c r="K12" i="45"/>
  <c r="K13" i="45"/>
  <c r="K14" i="45"/>
  <c r="K15" i="45"/>
  <c r="K16" i="45"/>
  <c r="G15" i="65" l="1"/>
  <c r="B32" i="111"/>
  <c r="B24" i="111"/>
  <c r="N14" i="113"/>
  <c r="N15" i="113"/>
  <c r="N20" i="113"/>
  <c r="N21" i="113"/>
  <c r="N11" i="113"/>
  <c r="N22" i="113"/>
  <c r="N9" i="113"/>
  <c r="N12" i="113"/>
  <c r="N13" i="113"/>
  <c r="N17" i="113"/>
  <c r="N18" i="113"/>
  <c r="N10" i="113"/>
  <c r="N19" i="113"/>
  <c r="K10" i="45"/>
  <c r="B34" i="46"/>
  <c r="N23" i="113" l="1"/>
  <c r="C34" i="46"/>
  <c r="B21" i="40"/>
  <c r="C21" i="40"/>
  <c r="D21" i="40"/>
  <c r="E21" i="40"/>
  <c r="C21" i="39"/>
  <c r="D21" i="39"/>
  <c r="E21" i="39"/>
  <c r="C21" i="38"/>
  <c r="D21" i="38"/>
  <c r="C24" i="37"/>
  <c r="D24" i="37"/>
  <c r="F24" i="37"/>
  <c r="C24" i="36"/>
  <c r="D24" i="36"/>
  <c r="F24" i="36"/>
  <c r="E21" i="38"/>
  <c r="E24" i="36"/>
  <c r="F21" i="40"/>
  <c r="F21" i="38"/>
  <c r="E24" i="37" l="1"/>
  <c r="F21" i="39"/>
  <c r="D24" i="33"/>
  <c r="F24" i="33"/>
  <c r="E24" i="33"/>
  <c r="C35" i="119" l="1"/>
  <c r="C31" i="119"/>
  <c r="C33" i="119"/>
  <c r="C39" i="119"/>
  <c r="C41" i="119"/>
  <c r="B31" i="119"/>
  <c r="B32" i="119"/>
  <c r="B33" i="119"/>
  <c r="B35" i="119"/>
  <c r="B36" i="119"/>
  <c r="B37" i="119"/>
  <c r="B39" i="119"/>
  <c r="B40" i="119"/>
  <c r="B41" i="119"/>
  <c r="B35" i="113"/>
  <c r="B37" i="113"/>
  <c r="B38" i="113"/>
  <c r="B39" i="113"/>
  <c r="C34" i="111"/>
  <c r="C36" i="111"/>
  <c r="C38" i="111"/>
  <c r="B33" i="111"/>
  <c r="B34" i="111"/>
  <c r="B36" i="111"/>
  <c r="B38" i="111"/>
  <c r="B39" i="111"/>
  <c r="B40" i="111"/>
  <c r="B35" i="111"/>
  <c r="B37" i="111"/>
  <c r="C40" i="111"/>
  <c r="C28" i="109"/>
  <c r="C29" i="109"/>
  <c r="C30" i="109"/>
  <c r="C33" i="109"/>
  <c r="B29" i="109"/>
  <c r="B30" i="109"/>
  <c r="B31" i="109"/>
  <c r="B32" i="109"/>
  <c r="B33" i="109"/>
  <c r="B34" i="109"/>
  <c r="B35" i="109"/>
  <c r="C31" i="109"/>
  <c r="C32" i="109"/>
  <c r="C34" i="109"/>
  <c r="C35" i="109"/>
  <c r="C32" i="107"/>
  <c r="C33" i="107"/>
  <c r="B27" i="107"/>
  <c r="B28" i="107"/>
  <c r="D23" i="107"/>
  <c r="B29" i="107" s="1"/>
  <c r="E23" i="107"/>
  <c r="B30" i="107" s="1"/>
  <c r="F23" i="107"/>
  <c r="B31" i="107" s="1"/>
  <c r="G23" i="107"/>
  <c r="B32" i="107" s="1"/>
  <c r="H23" i="107"/>
  <c r="B33" i="107" s="1"/>
  <c r="I23" i="107"/>
  <c r="B34" i="107" s="1"/>
  <c r="J23" i="107"/>
  <c r="B35" i="107" s="1"/>
  <c r="K23" i="107"/>
  <c r="B36" i="107" s="1"/>
  <c r="L23" i="107"/>
  <c r="C27" i="107"/>
  <c r="C29" i="107"/>
  <c r="C30" i="107"/>
  <c r="C31" i="107"/>
  <c r="C34" i="107"/>
  <c r="C35" i="107"/>
  <c r="K31" i="105"/>
  <c r="K32" i="105"/>
  <c r="K33" i="105"/>
  <c r="K37" i="105"/>
  <c r="J29" i="105"/>
  <c r="J30" i="105"/>
  <c r="J31" i="105"/>
  <c r="J32" i="105"/>
  <c r="J33" i="105"/>
  <c r="J34" i="105"/>
  <c r="J35" i="105"/>
  <c r="J36" i="105"/>
  <c r="J37" i="105"/>
  <c r="K30" i="105"/>
  <c r="K34" i="105"/>
  <c r="K35" i="105"/>
  <c r="K36" i="105"/>
  <c r="B17" i="94"/>
  <c r="C17" i="94"/>
  <c r="D17" i="94"/>
  <c r="E17" i="94"/>
  <c r="F17" i="94"/>
  <c r="G17" i="94"/>
  <c r="H17" i="94"/>
  <c r="I17" i="94"/>
  <c r="J17" i="94"/>
  <c r="K12" i="94" s="1"/>
  <c r="B25" i="91"/>
  <c r="B26" i="91"/>
  <c r="C23" i="91"/>
  <c r="C24" i="91"/>
  <c r="E14" i="91"/>
  <c r="C25" i="91" s="1"/>
  <c r="F14" i="91"/>
  <c r="C26" i="91" s="1"/>
  <c r="G14" i="91"/>
  <c r="C27" i="91" s="1"/>
  <c r="B23" i="91"/>
  <c r="B24" i="91"/>
  <c r="B27" i="91"/>
  <c r="H19" i="72"/>
  <c r="H11" i="69"/>
  <c r="B31" i="65"/>
  <c r="B32" i="65"/>
  <c r="B34" i="65"/>
  <c r="D26" i="65"/>
  <c r="B35" i="65"/>
  <c r="C28" i="63"/>
  <c r="B29" i="63"/>
  <c r="C29" i="63"/>
  <c r="B30" i="63"/>
  <c r="C30" i="63"/>
  <c r="B31" i="63"/>
  <c r="C31" i="63"/>
  <c r="B32" i="63"/>
  <c r="C32" i="63"/>
  <c r="B33" i="63"/>
  <c r="C33" i="63"/>
  <c r="B34" i="63"/>
  <c r="C34" i="63"/>
  <c r="B35" i="63"/>
  <c r="C35" i="63"/>
  <c r="B36" i="63"/>
  <c r="C36" i="63"/>
  <c r="B37" i="63"/>
  <c r="C37" i="63"/>
  <c r="B38" i="63"/>
  <c r="C38" i="63"/>
  <c r="K11" i="56"/>
  <c r="C27" i="56" s="1"/>
  <c r="K12" i="56"/>
  <c r="K13" i="56"/>
  <c r="K14" i="56"/>
  <c r="B29" i="56" s="1"/>
  <c r="C29" i="56"/>
  <c r="C16" i="56"/>
  <c r="E16" i="56"/>
  <c r="F16" i="56"/>
  <c r="G16" i="56"/>
  <c r="I16" i="56"/>
  <c r="J16" i="56"/>
  <c r="C17" i="56"/>
  <c r="D17" i="56"/>
  <c r="E17" i="56"/>
  <c r="F17" i="56"/>
  <c r="G17" i="56"/>
  <c r="H17" i="56"/>
  <c r="I17" i="56"/>
  <c r="J17" i="56"/>
  <c r="K9" i="55"/>
  <c r="K10" i="55"/>
  <c r="K11" i="55"/>
  <c r="K12" i="55"/>
  <c r="K13" i="55"/>
  <c r="K14" i="55"/>
  <c r="K15" i="55"/>
  <c r="C16" i="55"/>
  <c r="D16" i="55"/>
  <c r="E16" i="55"/>
  <c r="F16" i="55"/>
  <c r="G16" i="55"/>
  <c r="H16" i="55"/>
  <c r="J16" i="55"/>
  <c r="C17" i="55"/>
  <c r="E17" i="55"/>
  <c r="G17" i="55"/>
  <c r="H17" i="55"/>
  <c r="I17" i="55"/>
  <c r="J17" i="55"/>
  <c r="B40" i="63" l="1"/>
  <c r="C40" i="63"/>
  <c r="K17" i="56"/>
  <c r="L11" i="56" s="1"/>
  <c r="K16" i="56"/>
  <c r="L14" i="56" s="1"/>
  <c r="L8" i="55"/>
  <c r="K17" i="55"/>
  <c r="L15" i="55" s="1"/>
  <c r="C28" i="56"/>
  <c r="B28" i="56"/>
  <c r="K39" i="105"/>
  <c r="B18" i="94"/>
  <c r="B43" i="111"/>
  <c r="H15" i="25"/>
  <c r="I12" i="25"/>
  <c r="I10" i="25"/>
  <c r="I13" i="25"/>
  <c r="C33" i="96"/>
  <c r="B34" i="96"/>
  <c r="B21" i="99"/>
  <c r="H21" i="99"/>
  <c r="G21" i="99"/>
  <c r="H21" i="69"/>
  <c r="B32" i="96"/>
  <c r="C29" i="96"/>
  <c r="E21" i="118"/>
  <c r="G24" i="33"/>
  <c r="B30" i="96"/>
  <c r="B34" i="113"/>
  <c r="C32" i="96"/>
  <c r="B28" i="91"/>
  <c r="I21" i="99"/>
  <c r="H21" i="117"/>
  <c r="C37" i="109"/>
  <c r="H20" i="69"/>
  <c r="H17" i="69"/>
  <c r="H12" i="69"/>
  <c r="H9" i="69"/>
  <c r="H16" i="72"/>
  <c r="H12" i="72"/>
  <c r="I18" i="94"/>
  <c r="E21" i="99"/>
  <c r="K19" i="99"/>
  <c r="K15" i="99"/>
  <c r="K11" i="99"/>
  <c r="G21" i="117"/>
  <c r="I21" i="117"/>
  <c r="E21" i="117"/>
  <c r="H18" i="69"/>
  <c r="H15" i="69"/>
  <c r="H10" i="69"/>
  <c r="H17" i="72"/>
  <c r="H13" i="72"/>
  <c r="H9" i="72"/>
  <c r="N23" i="81"/>
  <c r="H14" i="91"/>
  <c r="F18" i="94"/>
  <c r="K9" i="94"/>
  <c r="B31" i="96"/>
  <c r="K16" i="99"/>
  <c r="K12" i="99"/>
  <c r="F21" i="117"/>
  <c r="K16" i="117"/>
  <c r="K12" i="117"/>
  <c r="C37" i="119"/>
  <c r="B33" i="65"/>
  <c r="H16" i="69"/>
  <c r="H18" i="72"/>
  <c r="H14" i="72"/>
  <c r="H10" i="72"/>
  <c r="D18" i="94"/>
  <c r="K10" i="94"/>
  <c r="B33" i="96"/>
  <c r="K19" i="98"/>
  <c r="C21" i="99"/>
  <c r="K17" i="99"/>
  <c r="K13" i="99"/>
  <c r="K9" i="99"/>
  <c r="B36" i="113"/>
  <c r="C21" i="117"/>
  <c r="B38" i="119"/>
  <c r="B34" i="119"/>
  <c r="H22" i="69"/>
  <c r="H19" i="69"/>
  <c r="H14" i="69"/>
  <c r="H15" i="72"/>
  <c r="H11" i="72"/>
  <c r="H18" i="94"/>
  <c r="K10" i="95"/>
  <c r="C34" i="96"/>
  <c r="B35" i="96"/>
  <c r="D21" i="99"/>
  <c r="K18" i="99"/>
  <c r="K14" i="99"/>
  <c r="K10" i="99"/>
  <c r="B40" i="113"/>
  <c r="D21" i="117"/>
  <c r="K18" i="117"/>
  <c r="K14" i="117"/>
  <c r="K10" i="117"/>
  <c r="C40" i="119"/>
  <c r="C38" i="119"/>
  <c r="C36" i="119"/>
  <c r="C34" i="119"/>
  <c r="C32" i="119"/>
  <c r="K19" i="117"/>
  <c r="K17" i="117"/>
  <c r="K15" i="117"/>
  <c r="K13" i="117"/>
  <c r="K11" i="117"/>
  <c r="C39" i="111"/>
  <c r="C37" i="111"/>
  <c r="C35" i="111"/>
  <c r="C33" i="111"/>
  <c r="B37" i="107"/>
  <c r="C28" i="107"/>
  <c r="J39" i="105"/>
  <c r="F21" i="99"/>
  <c r="C35" i="96"/>
  <c r="C31" i="96"/>
  <c r="E18" i="94"/>
  <c r="K15" i="94"/>
  <c r="K13" i="94"/>
  <c r="K11" i="94"/>
  <c r="G18" i="94"/>
  <c r="C18" i="94"/>
  <c r="K16" i="94"/>
  <c r="K14" i="94"/>
  <c r="C28" i="91"/>
  <c r="G24" i="36"/>
  <c r="C43" i="111" l="1"/>
  <c r="L10" i="56"/>
  <c r="L8" i="56"/>
  <c r="L12" i="56"/>
  <c r="L15" i="56"/>
  <c r="L9" i="56"/>
  <c r="L13" i="56"/>
  <c r="L14" i="55"/>
  <c r="L12" i="55"/>
  <c r="L10" i="55"/>
  <c r="L9" i="55"/>
  <c r="L11" i="55"/>
  <c r="L13" i="55"/>
  <c r="C21" i="98"/>
  <c r="B21" i="98"/>
  <c r="B18" i="95"/>
  <c r="B37" i="65"/>
  <c r="B43" i="113"/>
  <c r="I8" i="91"/>
  <c r="F15" i="91"/>
  <c r="D15" i="91"/>
  <c r="I10" i="91"/>
  <c r="I12" i="91"/>
  <c r="B15" i="91"/>
  <c r="I9" i="91"/>
  <c r="E15" i="91"/>
  <c r="K17" i="118"/>
  <c r="K20" i="117"/>
  <c r="C15" i="91"/>
  <c r="I11" i="91"/>
  <c r="G15" i="91"/>
  <c r="I13" i="91"/>
  <c r="H16" i="74"/>
  <c r="C21" i="118"/>
  <c r="K19" i="118"/>
  <c r="K18" i="118"/>
  <c r="K14" i="118"/>
  <c r="F21" i="118"/>
  <c r="D21" i="118"/>
  <c r="K11" i="118"/>
  <c r="I21" i="118"/>
  <c r="K16" i="118"/>
  <c r="K15" i="118"/>
  <c r="K13" i="118"/>
  <c r="K10" i="118"/>
  <c r="K12" i="118"/>
  <c r="K9" i="118"/>
  <c r="J21" i="117"/>
  <c r="C24" i="113"/>
  <c r="L24" i="113"/>
  <c r="J24" i="113"/>
  <c r="I24" i="113"/>
  <c r="H24" i="113"/>
  <c r="D24" i="113"/>
  <c r="K24" i="113"/>
  <c r="E24" i="113"/>
  <c r="B24" i="113"/>
  <c r="G24" i="113"/>
  <c r="I24" i="111"/>
  <c r="N9" i="111"/>
  <c r="N13" i="111"/>
  <c r="C37" i="107"/>
  <c r="K20" i="99"/>
  <c r="J21" i="99"/>
  <c r="K14" i="98"/>
  <c r="G21" i="98"/>
  <c r="I21" i="98"/>
  <c r="F21" i="98"/>
  <c r="K11" i="98"/>
  <c r="K9" i="98"/>
  <c r="K15" i="98"/>
  <c r="K10" i="98"/>
  <c r="K13" i="98"/>
  <c r="E21" i="98"/>
  <c r="K16" i="98"/>
  <c r="K12" i="98"/>
  <c r="H21" i="98"/>
  <c r="D21" i="98"/>
  <c r="K17" i="98"/>
  <c r="K18" i="98"/>
  <c r="K17" i="94"/>
  <c r="H13" i="77"/>
  <c r="H14" i="77"/>
  <c r="H15" i="77"/>
  <c r="H16" i="77"/>
  <c r="H17" i="77"/>
  <c r="H10" i="77"/>
  <c r="H19" i="77"/>
  <c r="H11" i="77"/>
  <c r="H20" i="77"/>
  <c r="H12" i="77"/>
  <c r="H20" i="72"/>
  <c r="H23" i="69"/>
  <c r="H13" i="65"/>
  <c r="H10" i="65"/>
  <c r="H12" i="65"/>
  <c r="H11" i="65"/>
  <c r="I14" i="25"/>
  <c r="B42" i="119"/>
  <c r="H9" i="70"/>
  <c r="C42" i="119"/>
  <c r="H17" i="76"/>
  <c r="E21" i="100"/>
  <c r="N23" i="82"/>
  <c r="K9" i="96"/>
  <c r="H21" i="118"/>
  <c r="G21" i="118"/>
  <c r="H20" i="79"/>
  <c r="B29" i="96"/>
  <c r="B36" i="96" s="1"/>
  <c r="H14" i="74"/>
  <c r="K17" i="119"/>
  <c r="K11" i="95"/>
  <c r="F18" i="95"/>
  <c r="E18" i="95"/>
  <c r="D18" i="95"/>
  <c r="I18" i="95"/>
  <c r="K16" i="95"/>
  <c r="G18" i="95"/>
  <c r="K13" i="95"/>
  <c r="K12" i="95"/>
  <c r="C18" i="95"/>
  <c r="H18" i="95"/>
  <c r="K9" i="95"/>
  <c r="K15" i="95"/>
  <c r="K14" i="95"/>
  <c r="N20" i="111"/>
  <c r="N11" i="111"/>
  <c r="L24" i="111"/>
  <c r="N16" i="111"/>
  <c r="N14" i="111"/>
  <c r="F24" i="111"/>
  <c r="J24" i="111"/>
  <c r="C24" i="111"/>
  <c r="G24" i="111"/>
  <c r="K24" i="111"/>
  <c r="N18" i="111"/>
  <c r="H24" i="111"/>
  <c r="N21" i="111"/>
  <c r="N12" i="111"/>
  <c r="N10" i="111"/>
  <c r="E24" i="111"/>
  <c r="D24" i="111"/>
  <c r="N17" i="111"/>
  <c r="N19" i="111"/>
  <c r="N22" i="111"/>
  <c r="C30" i="96"/>
  <c r="H12" i="74"/>
  <c r="H10" i="74"/>
  <c r="H11" i="74"/>
  <c r="H13" i="74"/>
  <c r="H15" i="74"/>
  <c r="H17" i="74"/>
  <c r="H19" i="74"/>
  <c r="H20" i="74"/>
  <c r="H18" i="74"/>
  <c r="K20" i="118" l="1"/>
  <c r="H21" i="77"/>
  <c r="L16" i="55"/>
  <c r="L17" i="56"/>
  <c r="L16" i="56"/>
  <c r="L17" i="55"/>
  <c r="C36" i="96"/>
  <c r="B18" i="96"/>
  <c r="C21" i="100"/>
  <c r="I14" i="91"/>
  <c r="N23" i="111"/>
  <c r="J21" i="118"/>
  <c r="N22" i="115"/>
  <c r="N9" i="115"/>
  <c r="M24" i="113"/>
  <c r="M24" i="111"/>
  <c r="N17" i="115"/>
  <c r="K15" i="100"/>
  <c r="K19" i="100"/>
  <c r="K10" i="100"/>
  <c r="I21" i="100"/>
  <c r="K13" i="100"/>
  <c r="H21" i="100"/>
  <c r="F21" i="100"/>
  <c r="K17" i="100"/>
  <c r="K9" i="100"/>
  <c r="K11" i="100"/>
  <c r="K17" i="95"/>
  <c r="J18" i="95"/>
  <c r="K14" i="96"/>
  <c r="K13" i="96"/>
  <c r="H13" i="79"/>
  <c r="H19" i="76"/>
  <c r="H14" i="76"/>
  <c r="H16" i="76"/>
  <c r="H9" i="76"/>
  <c r="H11" i="76"/>
  <c r="H21" i="74"/>
  <c r="H10" i="76"/>
  <c r="H17" i="70"/>
  <c r="H14" i="70"/>
  <c r="H14" i="65"/>
  <c r="E24" i="115"/>
  <c r="H14" i="79"/>
  <c r="D24" i="115"/>
  <c r="J24" i="115"/>
  <c r="I24" i="115"/>
  <c r="K12" i="100"/>
  <c r="H17" i="79"/>
  <c r="H19" i="79"/>
  <c r="N20" i="115"/>
  <c r="K24" i="115"/>
  <c r="H12" i="76"/>
  <c r="B22" i="79"/>
  <c r="K14" i="100"/>
  <c r="F24" i="115"/>
  <c r="K15" i="119"/>
  <c r="N13" i="115"/>
  <c r="H24" i="115"/>
  <c r="N18" i="115"/>
  <c r="L24" i="115"/>
  <c r="H18" i="79"/>
  <c r="N12" i="115"/>
  <c r="N15" i="115"/>
  <c r="H11" i="79"/>
  <c r="K18" i="100"/>
  <c r="G21" i="100"/>
  <c r="N19" i="115"/>
  <c r="D42" i="119"/>
  <c r="H15" i="70"/>
  <c r="K12" i="96"/>
  <c r="K15" i="96"/>
  <c r="H13" i="70"/>
  <c r="D18" i="96"/>
  <c r="N11" i="115"/>
  <c r="N10" i="115"/>
  <c r="C24" i="115"/>
  <c r="N14" i="115"/>
  <c r="K10" i="96"/>
  <c r="H12" i="70"/>
  <c r="H21" i="70"/>
  <c r="H10" i="70"/>
  <c r="H22" i="70"/>
  <c r="N16" i="115"/>
  <c r="I21" i="119"/>
  <c r="K16" i="96"/>
  <c r="I18" i="96"/>
  <c r="H11" i="70"/>
  <c r="H20" i="70"/>
  <c r="K11" i="96"/>
  <c r="F18" i="96"/>
  <c r="B24" i="115"/>
  <c r="G21" i="119"/>
  <c r="G18" i="96"/>
  <c r="N21" i="115"/>
  <c r="H16" i="70"/>
  <c r="H19" i="70"/>
  <c r="H18" i="96"/>
  <c r="K12" i="119"/>
  <c r="E18" i="96"/>
  <c r="H18" i="70"/>
  <c r="H15" i="76"/>
  <c r="H20" i="76"/>
  <c r="H18" i="76"/>
  <c r="H13" i="76"/>
  <c r="C18" i="96"/>
  <c r="B21" i="100"/>
  <c r="D21" i="100"/>
  <c r="K16" i="100"/>
  <c r="H9" i="79"/>
  <c r="H15" i="79"/>
  <c r="H12" i="79"/>
  <c r="H16" i="79"/>
  <c r="K9" i="119"/>
  <c r="K11" i="119"/>
  <c r="C21" i="119"/>
  <c r="E21" i="119"/>
  <c r="K13" i="119"/>
  <c r="K18" i="119"/>
  <c r="D21" i="119"/>
  <c r="K10" i="119"/>
  <c r="K19" i="119"/>
  <c r="K16" i="119"/>
  <c r="F21" i="119"/>
  <c r="H21" i="119"/>
  <c r="K14" i="119"/>
  <c r="H21" i="79" l="1"/>
  <c r="N23" i="115"/>
  <c r="H21" i="76"/>
  <c r="J21" i="119"/>
  <c r="K20" i="119"/>
  <c r="M24" i="115"/>
  <c r="K20" i="100"/>
  <c r="G22" i="76"/>
  <c r="H23" i="70"/>
  <c r="G24" i="37"/>
  <c r="G23" i="68"/>
  <c r="H21" i="68" s="1"/>
  <c r="H15" i="68" l="1"/>
  <c r="H13" i="68"/>
  <c r="H19" i="68"/>
  <c r="H22" i="68"/>
  <c r="H10" i="68"/>
  <c r="H14" i="68"/>
  <c r="H11" i="68"/>
  <c r="H18" i="68"/>
  <c r="H20" i="68"/>
  <c r="H16" i="68"/>
  <c r="H9" i="68"/>
  <c r="H17" i="68"/>
  <c r="H12" i="68"/>
  <c r="H23" i="68" l="1"/>
</calcChain>
</file>

<file path=xl/connections.xml><?xml version="1.0" encoding="utf-8"?>
<connections xmlns="http://schemas.openxmlformats.org/spreadsheetml/2006/main">
  <connection id="1" name="(Default) XLS_TAB_1" type="1" refreshedVersion="4" savePassword="1" saveData="1">
    <dbPr connection="DSN=VITAL_DB;UID=md_qry;PWD=md4421;SERVER=dev;" command="SELECT   X.YEAR_AR ,_x000d__x000a_         X.M_QTRI_COUNT,_x000d__x000a_         X.M_QTRI_PSG,_x000d__x000a_         X.M_NQTRI_COUNT,_x000d__x000a_         X.M_NQTRI_PSG,_x000d__x000a_         X.M_QTRI_TOT_COUNT,_x000d__x000a_         X.M_QTRI_TOT_PSG,_x000d__x000a_         X.D_QTRI_COUNT,_x000d__x000a_         X.D_QTRI_PSG,_x000d__x000a_         X.D_NQTRI_COUNT,_x000d__x000a_         X.D_NQTRI_PSG,_x000d__x000a_         X.D_QTRI_TOT_COUNT,_x000d__x000a_         X.D_QTRI_TOT_PSG ,_x000d__x000a_         X.YEAR_ENG_x000d__x000a_  FROM   MIGRATE.XLS_TAB_1 X _x000d__x000a_  where X.BULLTEN_YEAR=?_x000d__x000a_ORDER BY X.ROW_ORDER"/>
    <parameters count="1">
      <parameter name="Parameter1" parameterType="cell" refreshOnChange="1" cell="Sheet1!$B$1"/>
    </parameters>
  </connection>
  <connection id="2" name="(Default) XLS_TAB_10"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NAT_DESC_ENG          _x000d__x000a_    FROM   XLS_TAB_10 X_x000d__x000a_   WHERE   X.BULLTEN_YEAR = ?_x000d__x000a_ORDER BY   X.ROW_ORDER"/>
    <parameters count="1">
      <parameter name="Parameter1" parameterType="cell" refreshOnChange="1" cell="Sheet1!$B$1"/>
    </parameters>
  </connection>
  <connection id="3" name="(Default) XLS_TAB_11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1_x000d__x000a_ORDER BY   X.ROW_ORDER"/>
    <parameters count="1">
      <parameter name="Parameter1" parameterType="cell" refreshOnChange="1" cell="Sheet1!$B$1"/>
    </parameters>
  </connection>
  <connection id="4" name="(Default) XLS_TAB_11_2" type="1" refreshedVersion="4"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2_x000d__x000a_ORDER BY   X.ROW_ORDER"/>
    <parameters count="1">
      <parameter name="Parameter1" parameterType="cell" refreshOnChange="1" cell="Sheet1!$B$1"/>
    </parameters>
  </connection>
  <connection id="5" name="(Default) XLS_TAB_11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          _x000d__x000a_    FROM   XLS_TAB_11 X_x000d__x000a_   WHERE   X.BULLTEN_YEAR =? AND  X.CAT_QATRI_NQATRI_TOT=3_x000d__x000a_ORDER BY   X.ROW_ORDER"/>
    <parameters count="1">
      <parameter name="Parameter1" parameterType="cell" refreshOnChange="1" cell="Sheet1!$B$1"/>
    </parameters>
  </connection>
  <connection id="6" name="(Default) XLS_TAB_12_1"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1_x000d__x000a_ORDER BY   X.ROW_ORDER"/>
    <parameters count="1">
      <parameter name="Parameter1" parameterType="cell" refreshOnChange="1" cell="Sheet1!$B$1"/>
    </parameters>
  </connection>
  <connection id="7" name="(Default) XLS_TAB_12_2"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2_x000d__x000a_ORDER BY   X.ROW_ORDER"/>
    <parameters count="1">
      <parameter name="Parameter1" parameterType="cell" refreshOnChange="1" cell="Sheet1!$B$1"/>
    </parameters>
  </connection>
  <connection id="8" name="(Default) XLS_TAB_12_3" type="1" refreshedVersion="4" minRefreshableVersion="3" savePassword="1" saveData="1">
    <dbPr connection="DSN=VITAL_DB;UID=md_qry;PWD=md4421;SERVER=DEV;" command="SELECT   X.AGE_LEVEL_HUSBD_ARB,_x000d__x000a_           X.NO_WIFE_0,_x000d__x000a_           X.NO_WIFE_1,_x000d__x000a_           X.NO_WIFE_2,_x000d__x000a_           X.NO_WIFE_3,_x000d__x000a_           X.NO_WIFE_NOT_STATED,_x000d__x000a_           X.TOTAL,_x000d__x000a_           X.AGE_LEVEL_HUSBD_ENG_x000d__x000a_    FROM   XLS_TAB_12 X_x000d__x000a_   WHERE   X.BULLTEN_YEAR = ? AND X.CAT_QATRI_NQATRI_TOT = 3_x000d__x000a_ORDER BY   X.ROW_ORDER"/>
    <parameters count="1">
      <parameter name="Parameter1" parameterType="cell" refreshOnChange="1" cell="Sheet1!$B$1"/>
    </parameters>
  </connection>
  <connection id="9" name="(Default) XLS_TAB_13_1"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1_x000d__x000a_ORDER BY   X.ROW_ORDER"/>
    <parameters count="1">
      <parameter name="Parameter1" parameterType="cell" refreshOnChange="1" cell="Sheet1!$B$1"/>
    </parameters>
  </connection>
  <connection id="10" name="(Default) XLS_TAB_13_2" type="1" refreshedVersion="4" minRefreshableVersion="3"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2_x000d__x000a_ORDER BY   X.ROW_ORDER"/>
    <parameters count="1">
      <parameter name="Parameter1" parameterType="cell" refreshOnChange="1" cell="Sheet1!$B$1"/>
    </parameters>
  </connection>
  <connection id="11" name="(Default) XLS_TAB_13_3" type="1" refreshedVersion="4" savePassword="1" saveData="1">
    <dbPr connection="DSN=VITAL_DB;UID=md_qry;PWD=md4421;SERVER=DEV;" command="SELECT   _x000d__x000a_           X.AGE_LEVEL_HUSBD_ARB,_x000d__x000a_            X.NEVER_MARR,_x000d__x000a_           X.MARRIED,_x000d__x000a_           X.DIVORCES,_x000d__x000a_           X.WIDOWED,_x000d__x000a_           X.NOT_STATED,_x000d__x000a_           X.TOTAL,_x000d__x000a_           X.AGE_LEVEL_HUSBD_ENG_x000d__x000a_    FROM   XLS_TAB_13 X_x000d__x000a_   WHERE   X.BULLTEN_YEAR = ? AND X.CAT_QATRI_NQATRI_TOT = 3_x000d__x000a_ORDER BY   X.ROW_ORDER"/>
    <parameters count="1">
      <parameter name="Parameter1" parameterType="cell" refreshOnChange="1" cell="Sheet1!$B$1"/>
    </parameters>
  </connection>
  <connection id="12" name="(Default) XLS_TAB_14_1"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 1_x000d__x000a_ORDER BY   X.ROW_ORDER"/>
    <parameters count="1">
      <parameter name="Parameter1" parameterType="cell" refreshOnChange="1" cell="Sheet1!$B$1"/>
    </parameters>
  </connection>
  <connection id="13" name="(Default) XLS_TAB_14_2"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2_x000d__x000a_ORDER BY   X.ROW_ORDER"/>
    <parameters count="1">
      <parameter name="Parameter1" parameterType="cell" refreshOnChange="1" cell="Sheet1!$B$1"/>
    </parameters>
  </connection>
  <connection id="14" name="(Default) XLS_TAB_14_3" type="1" refreshedVersion="4" minRefreshableVersion="3" savePassword="1" saveData="1">
    <dbPr connection="DSN=VITAL_DB;UID=md_qry;PWD=md4421;SERVER=DEV;" command="SELECT   _x000d__x000a_           X.AGE_LEVEL_HUSBD_ARB,_x000d__x000a_           X.NOT_MARRIED,_x000d__x000a_           X.DIVORCES,_x000d__x000a_           X.WIDOWED,_x000d__x000a_           X.NOT_STATED,_x000d__x000a_           X.TOTAL,_x000d__x000a_           X.AGE_LEVEL_HUSBD_ENG_x000d__x000a_    FROM   XLS_TAB_14 X_x000d__x000a_   WHERE   X.BULLTEN_YEAR = ? AND X.CAT_QATRI_NQATRI_TOT =3_x000d__x000a_ORDER BY   X.ROW_ORDER"/>
    <parameters count="1">
      <parameter name="Parameter1" parameterType="cell" refreshOnChange="1" cell="Sheet1!$B$1"/>
    </parameters>
  </connection>
  <connection id="15" name="(Default) XLS_TAB_15_1"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1_x000d__x000a_ORDER BY   X.ROW_ORDER"/>
    <parameters count="1">
      <parameter name="Parameter1" parameterType="cell" refreshOnChange="1" cell="Sheet1!$B$1"/>
    </parameters>
  </connection>
  <connection id="16" name="(Default) XLS_TAB_15_2"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 2_x000d__x000a_ORDER BY   X.ROW_ORDER"/>
    <parameters count="1">
      <parameter name="Parameter1" parameterType="cell" refreshOnChange="1" cell="Sheet1!$B$1"/>
    </parameters>
  </connection>
  <connection id="17" name="(Default) XLS_TAB_15_3" type="1" refreshedVersion="4" minRefreshableVersion="3" savePassword="1" saveData="1">
    <dbPr connection="DSN=VITAL_DB;UID=md_qry;PWD=md4421;SERVER=dev;" command="SELECT  _x000d__x000a_           X.AGE_LEVEL_ARB,_x000d__x000a_           X.HUSBD_CNT,_x000d__x000a_           X.WIFE_CNT,_x000d__x000a_           X.TOTAL,_x000d__x000a_           X.PSTG,_x000d__x000a_           X.AGE_LEVEL_ENG_x000d__x000a_    FROM   MIGRATE.XLS_TAB_15 X_x000d__x000a_   WHERE   X.BULLTEN_YEAR = ? AND X.CAT_QATRI_NQATRI_TOT =3_x000d__x000a_ORDER BY   X.ROW_ORDER"/>
    <parameters count="1">
      <parameter name="Parameter1" parameterType="cell" refreshOnChange="1" cell="Sheet1!$B$1"/>
    </parameters>
  </connection>
  <connection id="18" name="(Default) XLS_TAB_1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1_x000d__x000a_  ORDER BY X.ROW_ORDER"/>
    <parameters count="1">
      <parameter name="Parameter1" parameterType="cell" refreshOnChange="1" cell="Sheet1!$B$1"/>
    </parameters>
  </connection>
  <connection id="19" name="(Default) XLS_TAB_1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2_x000d__x000a_  ORDER BY X.ROW_ORDER"/>
    <parameters count="1">
      <parameter name="Parameter1" parameterType="cell" refreshOnChange="1" cell="Sheet1!$B$1"/>
    </parameters>
  </connection>
  <connection id="20" name="(Default) XLS_TAB_1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        _x000d__x000a_  FROM   MIGRATE.XLS_TAB_16 X_x000d__x000a_  WHERE X.BULLTEN_YEAR=? AND X.CAT_QATRI_NQATRI_TOT=3_x000d__x000a_  ORDER BY X.ROW_ORDER"/>
    <parameters count="1">
      <parameter name="Parameter1" parameterType="cell" refreshOnChange="1" cell="Sheet1!$B$1"/>
    </parameters>
  </connection>
  <connection id="21" name="(Default) XLS_TAB_17_1"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1_x000d__x000a_ORDER BY   X.ROW_ORDER"/>
    <parameters count="1">
      <parameter name="Parameter1" parameterType="cell" refreshOnChange="1" cell="Sheet1!$B$1"/>
    </parameters>
  </connection>
  <connection id="22" name="(Default) XLS_TAB_17_2"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 2_x000d__x000a_ORDER BY   X.ROW_ORDER"/>
    <parameters count="1">
      <parameter name="Parameter1" parameterType="cell" refreshOnChange="1" cell="Sheet1!$B$1"/>
    </parameters>
  </connection>
  <connection id="23" name="(Default) XLS_TAB_17_3" type="1" refreshedVersion="4" minRefreshableVersion="3" savePassword="1" saveData="1">
    <dbPr connection="DSN=VITAL_DB;UID=md_qry;PWD=md4421;SERVER=DEV;" command="SELECT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17 X_x000d__x000a_   WHERE   X.BULLTEN_YEAR = ? AND X.CAT_QATRI_NQATRI_TOT =3_x000d__x000a_ORDER BY   X.ROW_ORDER"/>
    <parameters count="1">
      <parameter name="Parameter1" parameterType="cell" refreshOnChange="1" cell="Sheet1!$B$1"/>
    </parameters>
  </connection>
  <connection id="24" name="(Default) XLS_TAB_18_1"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 1_x000d__x000a_ORDER BY   X.ROW_ORDER"/>
    <parameters count="1">
      <parameter name="Parameter1" parameterType="cell" refreshOnChange="1" cell="Sheet1!$B$1"/>
    </parameters>
  </connection>
  <connection id="25" name="(Default) XLS_TAB_18_2"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2_x000d__x000a_ORDER BY   X.ROW_ORDER"/>
    <parameters count="1">
      <parameter name="Parameter1" parameterType="cell" refreshOnChange="1" cell="Sheet1!$B$1"/>
    </parameters>
  </connection>
  <connection id="26" name="(Default) XLS_TAB_18_3" type="1" refreshedVersion="4" minRefreshableVersion="3" savePassword="1" saveData="1">
    <dbPr connection="DSN=VITAL_DB;UID=md_qry;PWD=md4421;SERVER=DEV;" command="SELECT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18 X_x000d__x000a_   WHERE   X.BULLTEN_YEAR = ? AND X.CAT_QATRI_NQATRI_TOT =3_x000d__x000a_ORDER BY   X.ROW_ORDER"/>
    <parameters count="1">
      <parameter name="Parameter1" parameterType="cell" refreshOnChange="1" cell="Sheet1!$B$1"/>
    </parameters>
  </connection>
  <connection id="27" name="(Default) XLS_TAB_19"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MIGRATE.XLS_TAB_19 X_x000d__x000a_   WHERE   X.BULLTEN_YEAR = ? _x000d__x000a_ORDER BY   X.ROW_ORDER,X.CASES_SONS"/>
    <parameters count="1">
      <parameter name="Parameter1" parameterType="cell" refreshOnChange="1" cell="Sheet1!$B$1"/>
    </parameters>
  </connection>
  <connection id="28" name="(Default) XLS_TAB_2" type="1" refreshedVersion="4" minRefreshableVersion="3" savePassword="1" saveData="1">
    <dbPr connection="DSN=VITAL_DB;UID=md_qry;PWD=md4421;SERVER=dev;" command="SELECT _x000d__x000a_X.YEAR_AR, X.M_QTRI_COUNT, X.M_NQTRI_COUNT, _x000d__x000a_   X.M_QTRI_TOT_COUNT, X.M_QTRI_W_COUNT , X.M_NQTRI_W_COUNT , X.M_QTRI_TOT_COUNT ,X.D_QTRI_COUNT, X.D_NQTRI_COUNT, _x000d__x000a_   X.D_QTRI_TOT_COUNT, X.D_QTRI_W_COUNT, X.D_NQTRI_W_COUNT,   X.D_QTRI_TOT_COUNT,X.YEAR_ENG _x000d__x000a_FROM XLS_TAB_2 X where X.BULLTEN_YEAR=?  AND X.YEAR_ENG BETWEEN  X.BULLTEN_YEAR - 5 AND X.BULLTEN_YEAR - 1"/>
    <parameters count="1">
      <parameter name="Parameter1" parameterType="cell" refreshOnChange="1" cell="Sheet1!$B$1"/>
    </parameters>
  </connection>
  <connection id="29" name="(Default) XLS_TAB_20"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FROM  XLS_TAB_20 X_x000d__x000a_   WHERE   X.BULLTEN_YEAR = ?_x000d__x000a_ORDER BY   X.ROW_ORDER, X.CASES_SONS"/>
    <parameters count="1">
      <parameter name="Parameter1" parameterType="cell" refreshOnChange="1" cell="Sheet1!$B$1"/>
    </parameters>
  </connection>
  <connection id="30" name="(Default) XLS_TAB_23" type="1" refreshedVersion="4" minRefreshableVersion="3"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23 X_x000d__x000a_   WHERE   X.BULLTEN_YEAR = ?_x000d__x000a_ORDER BY   X.ROW_ORDER"/>
    <parameters count="1">
      <parameter name="Parameter1" parameterType="cell" refreshOnChange="1" cell="Sheet1!$B$1"/>
    </parameters>
  </connection>
  <connection id="31" name="(Default) XLS_TAB_24"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4 X_x000d__x000a_   WHERE   X.BULLTEN_YEAR = ?_x000d__x000a_ORDER BY   X.ROW_ORDER"/>
    <parameters count="1">
      <parameter name="Parameter1" parameterType="cell" refreshOnChange="1" cell="Sheet1!$B$1"/>
    </parameters>
  </connection>
  <connection id="32" name="(Default) XLS_TAB_25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1_x000d__x000a_   ORDER BY   X.ROW_ORDER"/>
    <parameters count="1">
      <parameter name="Parameter1" parameterType="cell" refreshOnChange="1" cell="Sheet1!$B$1"/>
    </parameters>
  </connection>
  <connection id="33" name="(Default) XLS_TAB_25_2"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2_x000d__x000a_   ORDER BY   X.ROW_ORDER"/>
    <parameters count="1">
      <parameter name="Parameter1" parameterType="cell" refreshOnChange="1" cell="Sheet1!$B$1"/>
    </parameters>
  </connection>
  <connection id="34" name="(Default) XLS_TAB_25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MIGRATE.XLS_TAB_25 X_x000d__x000a_   WHERE   X.BULLTEN_YEAR = ? AND X.CAT_QATRI_NQATRI_TOT=3_x000d__x000a_   ORDER BY   X.ROW_ORDER"/>
    <parameters count="1">
      <parameter name="Parameter1" parameterType="cell" refreshOnChange="1" cell="Sheet1!$B$1"/>
    </parameters>
  </connection>
  <connection id="35" name="(Default) XLS_TAB_26_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2_x000d__x000a_ORDER BY   X.ROW_ORDER"/>
    <parameters count="1">
      <parameter name="Parameter1" parameterType="cell" refreshOnChange="1" cell="Sheet1!$B$1"/>
    </parameters>
  </connection>
  <connection id="36" name="(Default) XLS_TAB_26_2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1_x000d__x000a_ORDER BY   X.ROW_ORDER"/>
    <parameters count="1">
      <parameter name="Parameter1" parameterType="cell" refreshOnChange="1" cell="Sheet1!$B$1"/>
    </parameters>
  </connection>
  <connection id="37" name="(Default) XLS_TAB_26_22" type="1" refreshedVersion="4" minRefreshableVersion="3" savePassword="1" saveData="1">
    <dbPr connection="DSN=VITAL_DB;UID=md_qry;PWD=md4421;SERVER=DEV;" command="SELECT   X.BAAN_SMALLERQATAR,_x000d__x000a_           X.RAJEE,_x000d__x000a_           X.KHULLA,_x000d__x000a_           X.BAAN_GREATER,_x000d__x000a_           X.TOTAL_x000d__x000a_    FROM   XLS_TAB_26 X_x000d__x000a_   WHERE   X.BULLTEN_YEAR = ? AND X.CAT_QATRI_NQATRI_TOT = 3_x000d__x000a_ORDER BY   X.ROW_ORDER"/>
    <parameters count="1">
      <parameter name="Parameter1" parameterType="cell" refreshOnChange="1" cell="Sheet1!$B$1"/>
    </parameters>
  </connection>
  <connection id="38" name="(Default) XLS_TAB_27_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1_x000d__x000a_ORDER BY   X.ROW_ORDER"/>
    <parameters count="1">
      <parameter name="Parameter1" parameterType="cell" refreshOnChange="1" cell="Sheet1!$B$1"/>
    </parameters>
  </connection>
  <connection id="39" name="(Default) XLS_TAB_27_11"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 2_x000d__x000a_ORDER BY   X.ROW_ORDER"/>
    <parameters count="1">
      <parameter name="Parameter1" parameterType="cell" refreshOnChange="1" cell="Sheet1!$B$1"/>
    </parameters>
  </connection>
  <connection id="40" name="(Default) XLS_TAB_27_21" type="1" refreshedVersion="4" minRefreshableVersion="3" savePassword="1" saveData="1">
    <dbPr connection="DSN=VITAL_DB;UID=md_qry;PWD=md4421;SERVER=dev;" command="SELECT   _x000d__x000a_         X.BAAN_SMALLER_CNT,_x000d__x000a_         X.RAJEE_CNT,_x000d__x000a_         X.KHULLA_CNT,_x000d__x000a_         X.BAAN_GREATER_CNT,_x000d__x000a_         X.TOTAL_x000d__x000a_         FROM   XLS_TAB_27_2 X_x000d__x000a_WHERE   X.BULLTEN_YEAR = ?_x000d__x000a_ORDER BY   X.ROW_ORDER"/>
    <parameters count="1">
      <parameter name="Parameter1" parameterType="cell" refreshOnChange="1" cell="Sheet1!$B$1"/>
    </parameters>
  </connection>
  <connection id="41" name="(Default) XLS_TAB_27_22"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7 X_x000d__x000a_WHERE   X.BULLTEN_YEAR = ?_x000d__x000a_ORDER BY   X.ROW_ORDER"/>
    <parameters count="1">
      <parameter name="Parameter1" parameterType="cell" refreshOnChange="1" cell="Sheet1!$B$1"/>
    </parameters>
  </connection>
  <connection id="42" name="(Default) XLS_TAB_27_3" type="1" refreshedVersion="4" minRefreshableVersion="3" savePassword="1" saveData="1">
    <dbPr connection="DSN=VITAL_DB;UID=md_qry;PWD=md4421;SERVER=DEV;" command="SELECT   _x000d__x000a_           X.BAAN_SMALLERQATAR,_x000d__x000a_           X.RAJEE,_x000d__x000a_           X.KHULLA,_x000d__x000a_           X.BAAN_GREATER,_x000d__x000a_           X.TOTAL_x000d__x000a_    FROM   XLS_TAB_27 X_x000d__x000a_   WHERE   X.BULLTEN_YEAR = ? AND X.CAT_QATRI_NQATRI_TOT =3_x000d__x000a_ORDER BY   X.ROW_ORDER"/>
    <parameters count="1">
      <parameter name="Parameter1" parameterType="cell" refreshOnChange="1" cell="Sheet1!$B$1"/>
    </parameters>
  </connection>
  <connection id="43" name="(Default) XLS_TAB_28_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1_x000d__x000a_ORDER BY   X.ROW_ORDER"/>
    <parameters count="1">
      <parameter name="Parameter1" parameterType="cell" refreshOnChange="1" cell="Sheet1!$B$1"/>
    </parameters>
  </connection>
  <connection id="44" name="(Default) XLS_TAB_28_11"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2_x000d__x000a_ORDER BY   X.ROW_ORDER"/>
    <parameters count="1">
      <parameter name="Parameter1" parameterType="cell" refreshOnChange="1" cell="Sheet1!$B$1"/>
    </parameters>
  </connection>
  <connection id="45" name="(Default) XLS_TAB_28_3" type="1" refreshedVersion="4" minRefreshableVersion="3" savePassword="1" saveData="1">
    <dbPr connection="DSN=VITAL_DB;UID=md_qry;PWD=md4421;SERVER=DEV;" command="SELECT   X.BAAN_SMALLERQATAR,_x000d__x000a_           X.RAJEE,_x000d__x000a_           X.KHULLA,_x000d__x000a_           X.BAAN_GREATER,_x000d__x000a_           X.TOTAL_x000d__x000a_    FROM   XLS_TAB_28 X_x000d__x000a_   WHERE   X.BULLTEN_YEAR = ? AND X.CAT_QATRI_NQATRI_TOT = 3_x000d__x000a_ORDER BY   X.ROW_ORDER"/>
    <parameters count="1">
      <parameter name="Parameter1" parameterType="cell" refreshOnChange="1" cell="Sheet1!$B$1"/>
    </parameters>
  </connection>
  <connection id="46" name="(Default) XLS_TAB_29_1"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 1_x000d__x000a_ORDER BY   X.ROW_ORDER"/>
    <parameters count="1">
      <parameter name="Parameter1" parameterType="cell" refreshOnChange="1" cell="Sheet1!$B$1"/>
    </parameters>
  </connection>
  <connection id="47" name="(Default) XLS_TAB_29_2"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 2_x000d__x000a_ORDER BY   X.ROW_ORDER"/>
    <parameters count="1">
      <parameter name="Parameter1" parameterType="cell" refreshOnChange="1" cell="Sheet1!$B$1"/>
    </parameters>
  </connection>
  <connection id="48" name="(Default) XLS_TAB_29_3"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XLS_TAB_29 X_x000d__x000a_   WHERE   X.BULLTEN_YEAR = ? AND X.CAT_QATRI_NQATRI_TOT =3_x000d__x000a_ORDER BY   X.ROW_ORDER"/>
    <parameters count="1">
      <parameter name="Parameter1" parameterType="cell" refreshOnChange="1" cell="Sheet1!$B$1"/>
    </parameters>
  </connection>
  <connection id="49" name="(Default) XLS_TAB_30_2" type="1" refreshedVersion="4" minRefreshableVersion="3" savePassword="1" saveData="1">
    <dbPr connection="DSN=VITAL_DB;UID=md_qry;PWD=md4421;SERVER=dev;" command="SELECT   x.MARRD_PRD_HUSBD_ARB,_x000d__x000a_           X.CAT_1_HSB_CNT,_x000d__x000a_           X.CAT_1_WFE_CNT,_x000d__x000a_           X.CAT_2_HSB_CNT,_x000d__x000a_           X.CAT_2_WFE_CNT,_x000d__x000a_           X.CAT_3_HSB_CNT,_x000d__x000a_           X.CAT_3_WFE_CNT,_x000d__x000a_           X.CAT_4_HSB_CNT,_x000d__x000a_           X.CAT_4_WFE_CNT,_x000d__x000a_           X.TOT_HSB_CNT,_x000d__x000a_           X.TOT_WFE_CNT,_x000d__x000a_           X.TOT_NOTSTAT_CNT,_x000d__x000a_           X.G_TOTAL,_x000d__x000a_           X.MARRD_PRD_HUSBD_ENG_x000d__x000a_    FROM   XLS_TAB_30_2 X_x000d__x000a_   WHERE   X.BULLTEN_YEAR = ?_x000d__x000a_ORDER BY   X.ROW_ORDER"/>
    <parameters count="1">
      <parameter name="Parameter1" parameterType="cell" refreshOnChange="1" cell="Sheet1!$B$1"/>
    </parameters>
  </connection>
  <connection id="50" name="(Default) XLS_TAB_30_3"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3_x000d__x000a_ORDER BY   X.ROW_ORDER"/>
    <parameters count="1">
      <parameter name="Parameter1" parameterType="cell" refreshOnChange="1" cell="Sheet1!$B$1"/>
    </parameters>
  </connection>
  <connection id="51" name="(Default) XLS_TAB_30_31"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2_x000d__x000a_ORDER BY   X.ROW_ORDER"/>
    <parameters count="1">
      <parameter name="Parameter1" parameterType="cell" refreshOnChange="1" cell="Sheet1!$B$1"/>
    </parameters>
  </connection>
  <connection id="52" name="(Default) XLS_TAB_30_32" type="1" refreshedVersion="4" minRefreshableVersion="3" savePassword="1" saveData="1">
    <dbPr connection="DSN=VITAL_DB;UID=md_qry;PWD=md4421;SERVER=DEV;" command="SELECT   _x000d__x000a_           X.AGE_LEVEL_ARB,_x000d__x000a_           X.B_CONS_CNT,_x000d__x000a_           X.BELOW_1_CNT,_x000d__x000a_           X.CNT_1,_x000d__x000a_           X.CNT_2,_x000d__x000a_           X.CNT_3,_x000d__x000a_           X.CNT_4,_x000d__x000a_           X.CNT_5_9,_x000d__x000a_           X.CNT_10_14,_x000d__x000a_           X.CNT_15_19,_x000d__x000a_           X.CNT_20_24,_x000d__x000a_           X.CNT_UP_25,_x000d__x000a_           X.NOT_STATED,_x000d__x000a_           X.TOTAL,_x000d__x000a_           X.AGE_LEVEL_ENG_x000d__x000a_    FROM   MIGRATE.XLS_TAB_30 X_x000d__x000a_   WHERE   X.BULLTEN_YEAR = ? AND X.CAT_QATRI_NQATRI_TOT = 1_x000d__x000a_ORDER BY   X.ROW_ORDER"/>
    <parameters count="1">
      <parameter name="Parameter1" parameterType="cell" refreshOnChange="1" cell="Sheet1!$B$1"/>
    </parameters>
  </connection>
  <connection id="53" name="(Default) XLS_TAB_31_1"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1_x000d__x000a_  ORDER BY X.ROW_ORDER"/>
    <parameters count="1">
      <parameter name="Parameter1" parameterType="cell" refreshOnChange="1" cell="Sheet1!$B$1"/>
    </parameters>
  </connection>
  <connection id="54" name="(Default) XLS_TAB_31_2"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2_x000d__x000a_  ORDER BY X.ROW_ORDER"/>
    <parameters count="1">
      <parameter name="Parameter1" parameterType="cell" refreshOnChange="1" cell="Sheet1!$B$1"/>
    </parameters>
  </connection>
  <connection id="55" name="(Default) XLS_TAB_31_3" type="1" refreshedVersion="4" minRefreshableVersion="3" savePassword="1" saveData="1">
    <dbPr connection="DSN=VITAL_DB;UID=md_qry;PWD=md4421;SERVER=DEV;" command="SELECT   _x000d__x000a_         X.AGE_LEVEL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GE_LEVEL_ENG_x000d__x000a_  FROM   MIGRATE.XLS_TAB_31 X_x000d__x000a_  WHERE X.BULLTEN_YEAR=? AND X.CAT_QATRI_NQATRI_TOT=3_x000d__x000a_  ORDER BY X.ROW_ORDER"/>
    <parameters count="1">
      <parameter name="Parameter1" parameterType="cell" refreshOnChange="1" cell="Sheet1!$B$1"/>
    </parameters>
  </connection>
  <connection id="56" name="(Default) XLS_TAB_32"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60_64,_x000d__x000a_           X.CNT_65_69,_x000d__x000a_           X.CNT_70_74,_x000d__x000a_           X.CNT_UP_75,_x000d__x000a_           X.NOT_STATED,_x000d__x000a_           X.TOTAL,_x000d__x000a_           X.AREA_ENG_x000d__x000a_    FROM   XLS_TAB_32 X_x000d__x000a_   WHERE   X.BULLTEN_YEAR = ? _x000d__x000a_ORDER BY   X.ROW_ORDER"/>
    <parameters count="1">
      <parameter name="Parameter1" parameterType="cell" refreshOnChange="1" cell="Sheet1!$B$1"/>
    </parameters>
  </connection>
  <connection id="57" name="(Default) XLS_TAB_33" type="1" refreshedVersion="4" minRefreshableVersion="3" savePassword="1" saveData="1">
    <dbPr connection="DSN=VITAL_DB;UID=md_qry;PWD=md4421;SERVER=DEV;" command="SELECT  _x000d__x000a_           X.AREA_ARB,_x000d__x000a_           X.CNT_BELOW_20,_x000d__x000a_           X.CNT_20_24,_x000d__x000a_           X.CNT_25_29,_x000d__x000a_           X.CNT_30_34,_x000d__x000a_           X.CNT_35_39,_x000d__x000a_           X.CNT_40_44,_x000d__x000a_           X.CNT_45_49,_x000d__x000a_           X.CNT_50_54,_x000d__x000a_           X.CNT_55_59,_x000d__x000a_           X.CNT_UP_60,_x000d__x000a_           X.NOT_STATED,_x000d__x000a_           X.TOTAL,_x000d__x000a_           X.AREA_ENG_x000d__x000a_    FROM   XLS_TAB_33 X_x000d__x000a_   WHERE   X.BULLTEN_YEAR = ?_x000d__x000a_ORDER BY   X.ROW_ORDER"/>
    <parameters count="1">
      <parameter name="Parameter1" parameterType="cell" refreshOnChange="1" cell="Sheet1!$B$1"/>
    </parameters>
  </connection>
  <connection id="58" name="(Default) XLS_TAB_34"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FROM   XLS_TAB_34 X_x000d__x000a_   WHERE   X.BULLTEN_YEAR = ?_x000d__x000a_ORDER BY   X.ROW_ORDER"/>
    <parameters count="1">
      <parameter name="Parameter1" parameterType="cell" refreshOnChange="1" cell="Sheet1!$B$1"/>
    </parameters>
  </connection>
  <connection id="59" name="(Default) XLS_TAB_35" type="1" refreshedVersion="4" minRefreshableVersion="3" savePassword="1" saveData="1">
    <dbPr connection="DSN=VITAL_DB;UID=md_qry;PWD=md4421;SERVER=DEV;" command="SELECT   X.AGE_LEVEL_ARB,_x000d__x000a_           X.Q_NONE_CNT,_x000d__x000a_           X.Q_1_CNT,_x000d__x000a_           X.Q_2_CNT,_x000d__x000a_           X.Q_4_CNT,_x000d__x000a_           X.Q_NOT_STATED,_x000d__x000a_           X.Q_TOT_CNT,_x000d__x000a_           X.NQ_NONE_CNT,_x000d__x000a_           X.NQ_1_CNT,_x000d__x000a_           X.NQ_2_CNT,_x000d__x000a_           X.NQ_4_CNT,_x000d__x000a_           X.NQ_NOT_STATED,_x000d__x000a_           X.NQ_TOT_CNT,_x000d__x000a_           X.AGE_LEVEL_ENG_x000d__x000a_    FROM   XLS_TAB_35 X_x000d__x000a_   WHERE   X.BULLTEN_YEAR = ?_x000d__x000a_ORDER BY   X.ROW_ORDER"/>
    <parameters count="1">
      <parameter name="Parameter1" parameterType="cell" refreshOnChange="1" cell="Sheet1!$B$1"/>
    </parameters>
  </connection>
  <connection id="60" name="(Default) XLS_TAB_36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1_x000d__x000a_ORDER BY   X.ROW_ORDER"/>
    <parameters count="1">
      <parameter name="Parameter1" parameterType="cell" refreshOnChange="1" cell="Sheet1!$B$1"/>
    </parameters>
  </connection>
  <connection id="61" name="(Default) XLS_TAB_36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2_x000d__x000a_ORDER BY   X.ROW_ORDER"/>
    <parameters count="1">
      <parameter name="Parameter1" parameterType="cell" refreshOnChange="1" cell="Sheet1!$B$1"/>
    </parameters>
  </connection>
  <connection id="62" name="(Default) XLS_TAB_36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XLS_TAB_36 X_x000d__x000a_   WHERE   X.BULLTEN_YEAR = ? AND X.CAT_QATRI_NQATRI_TOT=3_x000d__x000a_ORDER BY   X.ROW_ORDER"/>
    <parameters count="1">
      <parameter name="Parameter1" parameterType="cell" refreshOnChange="1" cell="Sheet1!$B$1"/>
    </parameters>
  </connection>
  <connection id="63" name="(Default) XLS_TAB_37_1"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 1_x000d__x000a_ORDER BY   X.ROW_ORDER"/>
    <parameters count="1">
      <parameter name="Parameter1" parameterType="cell" refreshOnChange="1" cell="Sheet1!$B$1"/>
    </parameters>
  </connection>
  <connection id="64" name="(Default) XLS_TAB_37_2"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2_x000d__x000a_ORDER BY   X.ROW_ORDER"/>
    <parameters count="1">
      <parameter name="Parameter1" parameterType="cell" refreshOnChange="1" cell="Sheet1!$B$1"/>
    </parameters>
  </connection>
  <connection id="65" name="(Default) XLS_TAB_37_3" type="1" refreshedVersion="4" minRefreshableVersion="3" savePassword="1" saveData="1">
    <dbPr connection="DSN=VITAL_DB;UID=md_qry;PWD=md4421;SERVER=DEV;" command="SELECT   _x000d__x000a_           X.ILLITERATE_CNT,_x000d__x000a_           X.READ_AND_WRITE_CNT,_x000d__x000a_           X.PRIMARY_CNT,_x000d__x000a_           X.PREPARATORY_CNT,_x000d__x000a_           X.SECONDARY_CNT,_x000d__x000a_           X.PRE_UNIVERSITY_CNT,_x000d__x000a_           X.UNIV_ABOVE_CNT,_x000d__x000a_           X.NOT_STATED_CNT,_x000d__x000a_           X.TOTAL_x000d__x000a_    FROM   MIGRATE.XLS_TAB_37 X_x000d__x000a_   WHERE   X.BULLTEN_YEAR = ? AND X.CAT_QATRI_NQATRI_TOT =3_x000d__x000a_ORDER BY   X.ROW_ORDER"/>
    <parameters count="1">
      <parameter name="Parameter1" parameterType="cell" refreshOnChange="1" cell="Sheet1!$B$1"/>
    </parameters>
  </connection>
  <connection id="66" name="(Default) XLS_TAB_38_1"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 1_x000d__x000a_ORDER BY   X.ROW_ORDER"/>
    <parameters count="1">
      <parameter name="Parameter1" parameterType="cell" refreshOnChange="1" cell="Sheet1!$B$1"/>
    </parameters>
  </connection>
  <connection id="67" name="(Default) XLS_TAB_38_2"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2_x000d__x000a_ORDER BY   X.ROW_ORDER"/>
    <parameters count="1">
      <parameter name="Parameter1" parameterType="cell" refreshOnChange="1" cell="Sheet1!$B$1"/>
    </parameters>
  </connection>
  <connection id="68" name="(Default) XLS_TAB_38_3" type="1" refreshedVersion="4" minRefreshableVersion="3" savePassword="1" saveData="1">
    <dbPr connection="DSN=VITAL_DB;UID=md_qry;PWD=md4421;SERVER=DEV;" command="SELECT   _x000d__x000a_           X.JOB_ARB,_x000d__x000a_           X.LEGISLATORS_CNT,_x000d__x000a_           X.PROFESSIONALS_CNT,_x000d__x000a_           X.TECHNICIANS_CNT,_x000d__x000a_           X.CLERKS_CNT,_x000d__x000a_           X.SERVICE_WORKERS_CNT,_x000d__x000a_           X.SKILLED_AGRICULTURAL_CNT,_x000d__x000a_           X.CRAFT_CNT,_x000d__x000a_           X.PLANT_CNT,_x000d__x000a_           X.ELEMENTARY_OCCUPATIONS_CNT,_x000d__x000a_           X.NOT_KNOWN_CNT,_x000d__x000a_           X.TOTAL,_x000d__x000a_           X.NO_OCCUP,_x000d__x000a_           X.GRND_TOTAL,_x000d__x000a_           X.JOB_ENG_x000d__x000a_    FROM   XLS_TAB_38 X_x000d__x000a_   WHERE   X.BULLTEN_YEAR = ? AND X.CAT_QATRI_NQATRI_TOT =3_x000d__x000a_ORDER BY   X.ROW_ORDER"/>
    <parameters count="1">
      <parameter name="Parameter1" parameterType="cell" refreshOnChange="1" cell="Sheet1!$B$1"/>
    </parameters>
  </connection>
  <connection id="69" name="(Default) XLS_TAB_39_1"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1_x000d__x000a_ORDER BY   X.ROW_ORDER"/>
    <parameters count="1">
      <parameter name="Parameter1" parameterType="cell" refreshOnChange="1" cell="Sheet1!$B$1"/>
    </parameters>
  </connection>
  <connection id="70" name="(Default) XLS_TAB_39_2"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2_x000d__x000a_ORDER BY   X.ROW_ORDER"/>
    <parameters count="1">
      <parameter name="Parameter1" parameterType="cell" refreshOnChange="1" cell="Sheet1!$B$1"/>
    </parameters>
  </connection>
  <connection id="71" name="(Default) XLS_TAB_39_3" type="1" refreshedVersion="4" minRefreshableVersion="3" savePassword="1" saveData="1">
    <dbPr connection="DSN=VITAL_DB;UID=md_qry;PWD=md4421;SERVER=DEV;" command="SELECT  _x000d__x000a_           X.AGE_LEVEL_HUSBD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X.AGE_LEVEL_HUSBD_ENG_x000d__x000a_    FROM   XLS_TAB_39 X_x000d__x000a_   WHERE   X.BULLTEN_YEAR =? AND X.CAT_RELATION =3_x000d__x000a_ORDER BY   X.ROW_ORDER"/>
    <parameters count="1">
      <parameter name="Parameter1" parameterType="cell" refreshOnChange="1" cell="Sheet1!$B$1"/>
    </parameters>
  </connection>
  <connection id="72" name="(Default) XLS_TAB_40_1"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 1_x000d__x000a_ORDER BY   X.ROW_ORDER"/>
    <parameters count="1">
      <parameter name="Parameter1" parameterType="cell" refreshOnChange="1" cell="Sheet1!$B$1"/>
    </parameters>
  </connection>
  <connection id="73" name="(Default) XLS_TAB_40_2"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2_x000d__x000a_ORDER BY   X.ROW_ORDER"/>
    <parameters count="1">
      <parameter name="Parameter1" parameterType="cell" refreshOnChange="1" cell="Sheet1!$B$1"/>
    </parameters>
  </connection>
  <connection id="74" name="(Default) XLS_TAB_40_3" type="1" refreshedVersion="4" minRefreshableVersion="3" savePassword="1" saveData="1">
    <dbPr connection="DSN=VITAL_DB;UID=md_qry;PWD=md4421;SERVER=DEV;" command="SELECT  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UP_60,_x000d__x000a_           X.AGE_LEVEL_NOT_STATED,_x000d__x000a_           X.TOTAL_x000d__x000a_    FROM   XLS_TAB_40 X_x000d__x000a_   WHERE   X.BULLTEN_YEAR = ? AND X.CAT_QATRI_NQATRI_TOT =3_x000d__x000a_ORDER BY   X.ROW_ORDER"/>
    <parameters count="1">
      <parameter name="Parameter1" parameterType="cell" refreshOnChange="1" cell="Sheet1!$B$1"/>
    </parameters>
  </connection>
  <connection id="75" name="(Default) XLS_TAB_41_1"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1_x000d__x000a_  ORDER BY X.ROW_ORDER"/>
    <parameters count="1">
      <parameter name="Parameter1" parameterType="cell" refreshOnChange="1" cell="Sheet1!$B$1"/>
    </parameters>
  </connection>
  <connection id="76" name="(Default) XLS_TAB_41_2"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2_x000d__x000a_  ORDER BY X.ROW_ORDER"/>
    <parameters count="1">
      <parameter name="Parameter1" parameterType="cell" refreshOnChange="1" cell="Sheet1!$B$1"/>
    </parameters>
  </connection>
  <connection id="77" name="(Default) XLS_TAB_41_3" type="1" refreshedVersion="4" minRefreshableVersion="3" savePassword="1" saveData="1">
    <dbPr connection="DSN=VITAL_DB;UID=md_qry;PWD=md4421;SERVER=DEV;" command="SELECT   _x000d__x000a_         X.SON_CNT_0,_x000d__x000a_         X.SON_CNT_1,_x000d__x000a_         X.SON_CNT_2,_x000d__x000a_         X.SON_CNT_3,_x000d__x000a_         X.SON_CNT_4,_x000d__x000a_         X.SON_CNT_5,_x000d__x000a_         X.SON_CNT_UP_6,_x000d__x000a_         X.SON_CNT_NOT_STATED,_x000d__x000a_         X.TOTAL_x000d__x000a_  FROM   XLS_TAB_41 X_x000d__x000a_  WHERE  X.BULLTEN_YEAR=? AND X.CAT_QATRI_NQATRI_TOT=3_x000d__x000a_  ORDER BY X.ROW_ORDER"/>
    <parameters count="1">
      <parameter name="Parameter1" parameterType="cell" refreshOnChange="1" cell="Sheet1!$B$1"/>
    </parameters>
  </connection>
  <connection id="78" name="(Default) XLS_TAB_42" type="1" refreshedVersion="4" minRefreshableVersion="3" savePassword="1" saveData="1">
    <dbPr connection="DSN=VITAL_DB;UID=md_qry;PWD=md4421;SERVER=DEV;" command="SELECT   X.CNT_0,_x000d__x000a_         X.CNT_1,_x000d__x000a_         X.CNT_2,_x000d__x000a_         X.CNT_3,_x000d__x000a_         X.CNT_4,_x000d__x000a_         X.CNT_5,_x000d__x000a_         X.CNT_6,_x000d__x000a_         X.NOT_STATED,_x000d__x000a_         X.TOTAL_x000d__x000a_  FROM   MIGRATE.XLS_TAB_42 X_x000d__x000a_  WHERE X.BULLTEN_YEAR=?_x000d__x000a_  ORDER BY X.ROW_ORDER,X.CASES_SONS"/>
    <parameters count="1">
      <parameter name="Parameter1" parameterType="cell" refreshOnChange="1" cell="Sheet1!$B$1"/>
    </parameters>
  </connection>
  <connection id="79" name="(Default) XLS_TAB_43" type="1" refreshedVersion="4" minRefreshableVersion="3" savePassword="1" saveData="1">
    <dbPr connection="DSN=VITAL_DB;UID=md_qry;PWD=md4421;SERVER=DEV;" command="SELECT   _x000d__x000a_           X.MARRD_PRD_HUSBD_ARB,_x000d__x000a_           X.CAT_1_SON_CNT,_x000d__x000a_           X.CAT_1_CASE_CNT,_x000d__x000a_           X.CAT_2_SON_CNT,_x000d__x000a_           X.CAT_2_CASE_CNT,_x000d__x000a_           X.CAT_3_SON_CNT,_x000d__x000a_           X.CAT_3_CASE_CNT,_x000d__x000a_           X.CAT_4_SON_CNT,_x000d__x000a_           X.CAT_4_CASE_CNT,_x000d__x000a_           X.CAT_TOT_SON_CNT,_x000d__x000a_           X.CAT_TOT_CASE_CNT,_x000d__x000a_           X.MARRD_PRD_HUSBD_ENG_x000d__x000a_    FROM   XLS_TAB_43 X_x000d__x000a_   WHERE   X.BULLTEN_YEAR = ?_x000d__x000a_ORDER BY   X.ROW_ORDER"/>
    <parameters count="1">
      <parameter name="Parameter1" parameterType="cell" refreshOnChange="1" cell="Sheet1!$B$1"/>
    </parameters>
  </connection>
  <connection id="80" name="(Default) XLS_TAB_48" type="1" refreshedVersion="4" minRefreshableVersion="3" savePassword="1" saveData="1">
    <dbPr connection="DSN=VITAL_DB;UID=md_qry;PWD=md4421;SERVER=dev;" command="SELECT   X.MARR_PRD_ARB,_x000d__x000a_         X.QATARI_SON_CNT,_x000d__x000a_         X.NON_QATARI_SON_CNT,_x000d__x000a_         X.TOTAL,_x000d__x000a_         X.MARR_PRD_ENG_x000d__x000a_  FROM   XLS_TAB_48 X_x000d__x000a_WHERE   X.BULLTEN_YEAR = ?_x000d__x000a_ORDER BY   X.ROW_ORDER"/>
    <parameters count="1">
      <parameter name="Parameter1" parameterType="cell" refreshOnChange="1" cell="Sheet1!$B$1"/>
    </parameters>
  </connection>
  <connection id="81" name="(Default) XLS_TAB_7" type="1" refreshedVersion="4" savePassword="1" saveData="1">
    <dbPr connection="DSN=VITAL_DB;UID=md_qry;PWD=md4421;SERVER=DEV;" command="SELECT   X.M_QTRI_COUNT,_x000d__x000a_         X.M_NQTRI_COUNT,_x000d__x000a_         X.M_QTRI_TOT_COUNT,_x000d__x000a_         X.W_QTRI_COUNT,_x000d__x000a_         X.W_NQTRI_COUNT,_x000d__x000a_         X.W_QTRI_TOT_COUNT_x000d__x000a_  FROM   XLS_TAB_7 X_x000d__x000a_  where  X.BULLTEN_YEAR=?_x000d__x000a_ORDER BY X.ROW_ORDER"/>
    <parameters count="1">
      <parameter name="Parameter1" parameterType="cell" refreshOnChange="1" cell="Sheet1!$B$1"/>
    </parameters>
  </connection>
  <connection id="82" name="(Default) XLS_TAB_8" type="1" refreshedVersion="4" minRefreshableVersion="3" savePassword="1" saveData="1">
    <dbPr connection="DSN=VITAL_DB;UID=md_qry;PWD=md4421;SERVER=DEV;" command="SELECT   _x000d__x000a_         X.QATAR,_x000d__x000a_         X.OTHER_G_C_C_COUNTRIES,_x000d__x000a_         X.OTHER_ARAB_COUNTRIES,_x000d__x000a_         X.ASIAN_COUNTRIES,_x000d__x000a_         X.EUROPEAN_COUNTRIES,_x000d__x000a_         X.OTHER_COUNTRIES,_x000d__x000a_         X.TOTAL,_x000d__x000a_         X.ROW_ORDER      _x000d__x000a_  FROM   XLS_TAB_8 X_x000d__x000a_  WHERE X.BULLTEN_YEAR=?_x000d__x000a_  ORDER BY X.ROW_ORDER"/>
    <parameters count="1">
      <parameter name="Parameter1" parameterType="cell" refreshOnChange="1" cell="Sheet1!$B$1"/>
    </parameters>
  </connection>
  <connection id="83" name="(Default) XLS_TAB_9" type="1" refreshedVersion="4" minRefreshableVersion="3" savePassword="1" saveData="1">
    <dbPr connection="DSN=VITAL_DB;UID=md_qry;PWD=md4421;SERVER=DEV;" command="SELECT   _x000d__x000a_           X.NAT_DESC_ARB,_x000d__x000a_           X.AGE_LEVEL_LESS_20,_x000d__x000a_           X.AGE_LEVEL_20_24,_x000d__x000a_           X.AGE_LEVEL_25_29,_x000d__x000a_           X.AGE_LEVEL_30_34,_x000d__x000a_           X.AGE_LEVEL_35_39,_x000d__x000a_           X.AGE_LEVEL_40_44,_x000d__x000a_           X.AGE_LEVEL_45_49,_x000d__x000a_           X.AGE_LEVEL_50_54,_x000d__x000a_           X.AGE_LEVEL_55_59,_x000d__x000a_           X.AGE_LEVEL_60_64,_x000d__x000a_           X.AGE_LEVEL_65_70,_x000d__x000a_           X.AGE_LEVEL_70_74,_x000d__x000a_           X.AGE_LEVEL_75,_x000d__x000a_           X.AGE_LEVEL_NOT_STATED,_x000d__x000a_           X.TOTAL,_x000d__x000a_           X.NAT_DESC_ENG_x000d__x000a_    FROM   XLS_TAB_9 X_x000d__x000a_  WHERE   X.BULLTEN_YEAR = ?_x000d__x000a_ORDER BY   X.ROW_ORDER"/>
    <parameters count="1">
      <parameter name="Parameter1" parameterType="cell" refreshOnChange="1" cell="Sheet1!$B$1"/>
    </parameters>
  </connection>
</connections>
</file>

<file path=xl/sharedStrings.xml><?xml version="1.0" encoding="utf-8"?>
<sst xmlns="http://schemas.openxmlformats.org/spreadsheetml/2006/main" count="4918" uniqueCount="1326">
  <si>
    <t xml:space="preserve">إشهادات الطلاق حسب عدد الأبناء وفئة عمر الزوجة </t>
  </si>
  <si>
    <t>المجموع Total</t>
  </si>
  <si>
    <t>جدول رقم (39-3)</t>
  </si>
  <si>
    <t>Table No. (39-3)</t>
  </si>
  <si>
    <t>6 +</t>
  </si>
  <si>
    <t>20 - 24</t>
  </si>
  <si>
    <t>25 - 29</t>
  </si>
  <si>
    <t>30 - 34</t>
  </si>
  <si>
    <t>35 - 39</t>
  </si>
  <si>
    <t>40 - 44</t>
  </si>
  <si>
    <t>45 - 49</t>
  </si>
  <si>
    <t>50 - 54</t>
  </si>
  <si>
    <t>55 - 59</t>
  </si>
  <si>
    <t>60 +</t>
  </si>
  <si>
    <t>غير مبين</t>
  </si>
  <si>
    <t>Not Stated</t>
  </si>
  <si>
    <t>المجموع</t>
  </si>
  <si>
    <t xml:space="preserve">Total  </t>
  </si>
  <si>
    <t xml:space="preserve">النسبة   </t>
  </si>
  <si>
    <t>Percentage</t>
  </si>
  <si>
    <t>قطريات
Qataris</t>
  </si>
  <si>
    <t>غير قطريات
Non-Qataris</t>
  </si>
  <si>
    <t>إشهادات الطلاق حسب جنسية الزوج والزوجة وعدد أبناء الزوجة ومدة الحياة الزواجية للزوج</t>
  </si>
  <si>
    <t>إشهادات الطلاق حسب عدد أبناء الزوجة وجنسية الزوج والزوجة</t>
  </si>
  <si>
    <t>4</t>
  </si>
  <si>
    <r>
      <t xml:space="preserve">النسبة
</t>
    </r>
    <r>
      <rPr>
        <b/>
        <sz val="9"/>
        <rFont val="Arial"/>
        <family val="2"/>
      </rPr>
      <t>%</t>
    </r>
  </si>
  <si>
    <r>
      <t xml:space="preserve">العدد
</t>
    </r>
    <r>
      <rPr>
        <b/>
        <sz val="9"/>
        <rFont val="Arial"/>
        <family val="2"/>
      </rPr>
      <t>No.</t>
    </r>
  </si>
  <si>
    <r>
      <t>المجموع</t>
    </r>
    <r>
      <rPr>
        <b/>
        <sz val="8"/>
        <rFont val="Arial"/>
        <family val="2"/>
        <charset val="178"/>
      </rPr>
      <t xml:space="preserve">
</t>
    </r>
    <r>
      <rPr>
        <b/>
        <sz val="10"/>
        <rFont val="Arial"/>
        <family val="2"/>
      </rPr>
      <t>Total</t>
    </r>
  </si>
  <si>
    <t>Year</t>
  </si>
  <si>
    <t>عقود الزواج
Marriages</t>
  </si>
  <si>
    <t>السنة</t>
  </si>
  <si>
    <t>جدول رقم (1)</t>
  </si>
  <si>
    <r>
      <t xml:space="preserve"> Graph No. (1) </t>
    </r>
    <r>
      <rPr>
        <b/>
        <sz val="12"/>
        <rFont val="Arial"/>
        <family val="2"/>
      </rPr>
      <t>شكل رقم</t>
    </r>
  </si>
  <si>
    <r>
      <t>إناث</t>
    </r>
    <r>
      <rPr>
        <b/>
        <sz val="8"/>
        <rFont val="Arial"/>
        <family val="2"/>
        <charset val="178"/>
      </rPr>
      <t xml:space="preserve">
Females</t>
    </r>
  </si>
  <si>
    <r>
      <t>ذكور</t>
    </r>
    <r>
      <rPr>
        <b/>
        <sz val="8"/>
        <rFont val="Arial"/>
        <family val="2"/>
        <charset val="178"/>
      </rPr>
      <t xml:space="preserve"> 
Males</t>
    </r>
  </si>
  <si>
    <t>جدول رقم (2)</t>
  </si>
  <si>
    <t>متوسط العمر عند أول زواج</t>
  </si>
  <si>
    <r>
      <t xml:space="preserve"> Graph No. (2) </t>
    </r>
    <r>
      <rPr>
        <b/>
        <sz val="12"/>
        <rFont val="Arial"/>
        <family val="2"/>
      </rPr>
      <t>شكل رقم</t>
    </r>
  </si>
  <si>
    <t>Crude Divorces Rate</t>
  </si>
  <si>
    <t>Crude Marriages Rate</t>
  </si>
  <si>
    <t>معدل الطلاق الخام</t>
  </si>
  <si>
    <t>عدد حالات الطلاق</t>
  </si>
  <si>
    <t>معدل الزواج الخام</t>
  </si>
  <si>
    <t>عدد حالات الزواج</t>
  </si>
  <si>
    <t>جدول رقم (3)</t>
  </si>
  <si>
    <r>
      <t>MARRIAGES AND DIVORCES CRUDE RATE PER 1000 POPULATION</t>
    </r>
    <r>
      <rPr>
        <b/>
        <vertAlign val="superscript"/>
        <sz val="12"/>
        <rFont val="Arial"/>
        <family val="2"/>
      </rPr>
      <t xml:space="preserve"> </t>
    </r>
  </si>
  <si>
    <r>
      <t xml:space="preserve"> Graph No. (3) </t>
    </r>
    <r>
      <rPr>
        <b/>
        <sz val="12"/>
        <rFont val="Arial"/>
        <family val="2"/>
      </rPr>
      <t>شكل رقم</t>
    </r>
  </si>
  <si>
    <r>
      <t xml:space="preserve">معدل الزواج العام
</t>
    </r>
    <r>
      <rPr>
        <b/>
        <sz val="9"/>
        <rFont val="Arial"/>
        <family val="2"/>
        <charset val="178"/>
      </rPr>
      <t xml:space="preserve">General Marriage Rates </t>
    </r>
  </si>
  <si>
    <r>
      <t xml:space="preserve">حالات الزواج 
</t>
    </r>
    <r>
      <rPr>
        <b/>
        <sz val="9"/>
        <rFont val="Arial"/>
        <family val="2"/>
        <charset val="178"/>
      </rPr>
      <t>Marriages</t>
    </r>
  </si>
  <si>
    <r>
      <t xml:space="preserve">الإناث </t>
    </r>
    <r>
      <rPr>
        <b/>
        <sz val="10"/>
        <rFont val="Arial"/>
        <family val="2"/>
        <charset val="178"/>
      </rPr>
      <t>Females</t>
    </r>
  </si>
  <si>
    <r>
      <t xml:space="preserve">الذكور </t>
    </r>
    <r>
      <rPr>
        <b/>
        <sz val="10"/>
        <rFont val="Arial"/>
        <family val="2"/>
        <charset val="178"/>
      </rPr>
      <t>Males</t>
    </r>
  </si>
  <si>
    <t>غير قطريين Non-Qataris</t>
  </si>
  <si>
    <t>قطريون Qataris</t>
  </si>
  <si>
    <t>جدول رقم (4)</t>
  </si>
  <si>
    <r>
      <t xml:space="preserve"> Graph No. (4) </t>
    </r>
    <r>
      <rPr>
        <b/>
        <sz val="12"/>
        <rFont val="Arial"/>
        <family val="2"/>
      </rPr>
      <t>شكل رقم</t>
    </r>
  </si>
  <si>
    <t>Total</t>
  </si>
  <si>
    <t>Al Daayen</t>
  </si>
  <si>
    <t>Al Shamal</t>
  </si>
  <si>
    <t>Al Khor</t>
  </si>
  <si>
    <t>Umm Salal</t>
  </si>
  <si>
    <t>Al Wakra</t>
  </si>
  <si>
    <t>Al Rayyan</t>
  </si>
  <si>
    <t>Doha</t>
  </si>
  <si>
    <t>جنسية الزوجة
Nationality of Wife</t>
  </si>
  <si>
    <t>جنسية الزوج
Nationality of Husband</t>
  </si>
  <si>
    <t>جدول رقم (5)</t>
  </si>
  <si>
    <t>Graph No. (5) شكل رقم</t>
  </si>
  <si>
    <t>December</t>
  </si>
  <si>
    <t>ديسمبر</t>
  </si>
  <si>
    <t>November</t>
  </si>
  <si>
    <t>نوفمبر</t>
  </si>
  <si>
    <t>October</t>
  </si>
  <si>
    <t>أكتوبر</t>
  </si>
  <si>
    <t>September</t>
  </si>
  <si>
    <t>سبتمبر</t>
  </si>
  <si>
    <t>August</t>
  </si>
  <si>
    <t>اغسطس</t>
  </si>
  <si>
    <t>July</t>
  </si>
  <si>
    <t>يوليو</t>
  </si>
  <si>
    <t>June</t>
  </si>
  <si>
    <t>يونيو</t>
  </si>
  <si>
    <t>May</t>
  </si>
  <si>
    <t>مايـو</t>
  </si>
  <si>
    <t>April</t>
  </si>
  <si>
    <t>ابريل</t>
  </si>
  <si>
    <t>March</t>
  </si>
  <si>
    <t>مارس</t>
  </si>
  <si>
    <t>February</t>
  </si>
  <si>
    <t>فبراير</t>
  </si>
  <si>
    <t>January</t>
  </si>
  <si>
    <t>يناير</t>
  </si>
  <si>
    <t>Month</t>
  </si>
  <si>
    <t>الشهر</t>
  </si>
  <si>
    <t>MARRIAGES BY NATIONALITY OF HUSBAND, NATIONALITY
OF WIFE AND MONTH</t>
  </si>
  <si>
    <t>عقود الزواج حسب جنسية الزوج والزوجة والشهر</t>
  </si>
  <si>
    <t>دول أخرى
Other Countries</t>
  </si>
  <si>
    <t>دول أوروبية
Europen Countries</t>
  </si>
  <si>
    <t>دول أسيوية
Asian Countries</t>
  </si>
  <si>
    <t>باقي الدول العربية
Other Arabs Countries</t>
  </si>
  <si>
    <t>بقية دول مجلس التعاون
Other G.C.C. Countries</t>
  </si>
  <si>
    <t>قطر
Qatar</t>
  </si>
  <si>
    <t>Percentage of Wife</t>
  </si>
  <si>
    <t>النسبة المئوية لجنسية الزوجة</t>
  </si>
  <si>
    <t>دول أوروبية</t>
  </si>
  <si>
    <t>بقية الدول العربية</t>
  </si>
  <si>
    <t>بقية دول مجلس التعاون</t>
  </si>
  <si>
    <t>قطر</t>
  </si>
  <si>
    <r>
      <t xml:space="preserve">المجموع
</t>
    </r>
    <r>
      <rPr>
        <b/>
        <sz val="9"/>
        <rFont val="Arial"/>
        <family val="2"/>
        <charset val="178"/>
      </rPr>
      <t>Total</t>
    </r>
  </si>
  <si>
    <t>Nationality of Husband</t>
  </si>
  <si>
    <t>جنسية الزوجة Nationality of Wife</t>
  </si>
  <si>
    <t>جنسية الزوج</t>
  </si>
  <si>
    <t>جدول رقم (7)</t>
  </si>
  <si>
    <t>MARRIAGES BY NATIONALITY OF WIFE AND HUSBAND</t>
  </si>
  <si>
    <t>عقود الزواج حسب جنسية الزوجة والزوج</t>
  </si>
  <si>
    <r>
      <t xml:space="preserve"> Graph No. (6) </t>
    </r>
    <r>
      <rPr>
        <b/>
        <sz val="12"/>
        <rFont val="Arial"/>
        <family val="2"/>
      </rPr>
      <t>شكل رقم</t>
    </r>
  </si>
  <si>
    <r>
      <t xml:space="preserve">المجموع
</t>
    </r>
    <r>
      <rPr>
        <b/>
        <sz val="9"/>
        <rFont val="Arial"/>
        <family val="2"/>
      </rPr>
      <t>Total</t>
    </r>
  </si>
  <si>
    <t>75+</t>
  </si>
  <si>
    <t>70-74</t>
  </si>
  <si>
    <t>65-69</t>
  </si>
  <si>
    <t>60-64</t>
  </si>
  <si>
    <t>55-59</t>
  </si>
  <si>
    <t>50-54</t>
  </si>
  <si>
    <t>45-49</t>
  </si>
  <si>
    <t>40-44</t>
  </si>
  <si>
    <t>35-39</t>
  </si>
  <si>
    <t>30-34</t>
  </si>
  <si>
    <t>25-29</t>
  </si>
  <si>
    <t>20-24</t>
  </si>
  <si>
    <t xml:space="preserve">فئة عمر الزوج  بالسنوات   Age Group of Husband in years </t>
  </si>
  <si>
    <t>Table No. (8)</t>
  </si>
  <si>
    <t>جدول رقم (8)</t>
  </si>
  <si>
    <t>عقود الزواج حسب فئة عمر الزوج وجنسيته</t>
  </si>
  <si>
    <t>60+</t>
  </si>
  <si>
    <t>15-19</t>
  </si>
  <si>
    <t>Nationality of Wife</t>
  </si>
  <si>
    <t xml:space="preserve">فئة عمر الزوجة  بالسنوات   Age Group of Wife in years </t>
  </si>
  <si>
    <t>جنسية الزوجة</t>
  </si>
  <si>
    <t>Table No. (9)</t>
  </si>
  <si>
    <t>جدول رقم (9)</t>
  </si>
  <si>
    <t>MARRIAGES BY WIFE AGE GROUP AND NATIONALITY</t>
  </si>
  <si>
    <t>عقود الزواج حسب فئة عمر الزوجة وجنسيتها</t>
  </si>
  <si>
    <t xml:space="preserve"> فئات عمر الزوج بالسنوات</t>
  </si>
  <si>
    <t>MARRIAGES BY AGE GROUP OF WIFE AND HUSBAND</t>
  </si>
  <si>
    <t>عقود الزواج حسب فئة عمر الزوجة والزوج</t>
  </si>
  <si>
    <t>النسبة</t>
  </si>
  <si>
    <r>
      <t xml:space="preserve">غير مبين
</t>
    </r>
    <r>
      <rPr>
        <sz val="10"/>
        <rFont val="Arial"/>
        <family val="2"/>
      </rPr>
      <t>Not Stated</t>
    </r>
  </si>
  <si>
    <t>عدد الزوجات بالعصمة Number of Wives</t>
  </si>
  <si>
    <t>Table No. (11-1)</t>
  </si>
  <si>
    <t>جدول رقم (11-1)</t>
  </si>
  <si>
    <t>MARRIAGES BY NUMBER OF WIVES AND HUSBAND'S AGE GROUP</t>
  </si>
  <si>
    <t>عقود الزواج حسب عدد الزوجات بالعصمة وفئة عمر الزوج</t>
  </si>
  <si>
    <t>Table No. (11-2)</t>
  </si>
  <si>
    <t>جدول رقم (11-2)</t>
  </si>
  <si>
    <t>Table No. (11-3)</t>
  </si>
  <si>
    <t>جدول رقم (11-3)</t>
  </si>
  <si>
    <t>الحالة الزواجية  Marital Status</t>
  </si>
  <si>
    <t>Table No. (12-1)</t>
  </si>
  <si>
    <t>جدول رقم (12-1)</t>
  </si>
  <si>
    <t>MARRIAGE BY HUSBAND MARITAL STATUS AND AGE GROUP</t>
  </si>
  <si>
    <t>عقود الزواج حسب الحالة الزواجية للزوج وفئة عمر الزوج</t>
  </si>
  <si>
    <t>Table No. (12-2)</t>
  </si>
  <si>
    <t>جدول رقم (12-2)</t>
  </si>
  <si>
    <t>Table No. (12-3)</t>
  </si>
  <si>
    <t>جدول رقم (12-3)</t>
  </si>
  <si>
    <t xml:space="preserve"> فئات عمر الزوجة بالسنوات</t>
  </si>
  <si>
    <t>Table No. (13-1)</t>
  </si>
  <si>
    <t>جدول رقم (13-1)</t>
  </si>
  <si>
    <t>قطريات Qataris</t>
  </si>
  <si>
    <t>MARRIAGE BY WIFE MARITAL STATUS AND AGE GROUP</t>
  </si>
  <si>
    <t>عقود الزواج حسب الحالة الزواجية للزوجة وفئة عمرها</t>
  </si>
  <si>
    <t>Table No. (13-2)</t>
  </si>
  <si>
    <t>جدول رقم (13-2)</t>
  </si>
  <si>
    <t>غير قطريات Non-Qataris</t>
  </si>
  <si>
    <t>Table No. (13-3)</t>
  </si>
  <si>
    <t>جدول رقم (13-3)</t>
  </si>
  <si>
    <t>55+</t>
  </si>
  <si>
    <t xml:space="preserve"> Age Group</t>
  </si>
  <si>
    <r>
      <t xml:space="preserve">النسبة
</t>
    </r>
    <r>
      <rPr>
        <b/>
        <sz val="9"/>
        <rFont val="Arial"/>
        <family val="2"/>
      </rPr>
      <t>Percentage</t>
    </r>
  </si>
  <si>
    <t>العمر بالسنوات</t>
  </si>
  <si>
    <t>Table No. (14-1)</t>
  </si>
  <si>
    <t>جدول رقم (14-1)</t>
  </si>
  <si>
    <t>Table No. (14-2)</t>
  </si>
  <si>
    <t>جدول رقم (14-2)</t>
  </si>
  <si>
    <t>Table No. (14-3)</t>
  </si>
  <si>
    <t>جدول رقم (14-3)</t>
  </si>
  <si>
    <t xml:space="preserve">Percentage of Wife  </t>
  </si>
  <si>
    <t>النسبة للزوجة</t>
  </si>
  <si>
    <t xml:space="preserve">المجموع  </t>
  </si>
  <si>
    <t>Not stated</t>
  </si>
  <si>
    <t>Univ &amp; Above</t>
  </si>
  <si>
    <t>جامعي فما فوق</t>
  </si>
  <si>
    <t>Secondary</t>
  </si>
  <si>
    <t>ثانوي</t>
  </si>
  <si>
    <t>Preparatory</t>
  </si>
  <si>
    <t>إعدادي</t>
  </si>
  <si>
    <t>Primary</t>
  </si>
  <si>
    <t>إبتدائي</t>
  </si>
  <si>
    <t>Read and Write</t>
  </si>
  <si>
    <t>يقرأ و يكتب</t>
  </si>
  <si>
    <t>Illiterate</t>
  </si>
  <si>
    <t>أمي</t>
  </si>
  <si>
    <t>Educational Status of Husband</t>
  </si>
  <si>
    <t>Educational Status of Wife الحالة التعليمية للزوجة</t>
  </si>
  <si>
    <t>الحالة التعليمية للزوج</t>
  </si>
  <si>
    <t>Table No. (15-1)</t>
  </si>
  <si>
    <t>جدول رقم (15-1)</t>
  </si>
  <si>
    <t>MARRIAGES BY EDUCATIONAL STATUS OF WIFE AND HUSBAND</t>
  </si>
  <si>
    <t>عقود الزواج حسب الحالة التعليمية للزوجة والزوج</t>
  </si>
  <si>
    <t>Table No. (15-2)</t>
  </si>
  <si>
    <t>جدول رقم (15-2)</t>
  </si>
  <si>
    <t>غير مبين
Not Stated</t>
  </si>
  <si>
    <t>جامعي فما فوق
Univ &amp; Above</t>
  </si>
  <si>
    <t>ثانوي
Secondary</t>
  </si>
  <si>
    <t>إعدادي
Preparatory</t>
  </si>
  <si>
    <t>إبتدائي
Primary</t>
  </si>
  <si>
    <t>يقرأ ويكتب
Read and Write</t>
  </si>
  <si>
    <t>أمي
Illiterate</t>
  </si>
  <si>
    <t>الزوجة Wife</t>
  </si>
  <si>
    <t>الزوج Husband</t>
  </si>
  <si>
    <t>Table No. (15-3)</t>
  </si>
  <si>
    <t>جدول رقم (15-3)</t>
  </si>
  <si>
    <r>
      <t xml:space="preserve"> Graph No. (7) </t>
    </r>
    <r>
      <rPr>
        <b/>
        <sz val="12"/>
        <rFont val="Arial"/>
        <family val="2"/>
      </rPr>
      <t>شكل رقم</t>
    </r>
  </si>
  <si>
    <t>(1) تشمل الأشخاص الذين يبحثون عن عمل وغير النشيطين إقتصاديا</t>
  </si>
  <si>
    <t xml:space="preserve">Grand Total  </t>
  </si>
  <si>
    <t xml:space="preserve">المجموع العام  </t>
  </si>
  <si>
    <t>No Occup. (1)</t>
  </si>
  <si>
    <t>Not Known</t>
  </si>
  <si>
    <t>الأفراد الذين لم يصنفوا حسب المهنة</t>
  </si>
  <si>
    <t>المهن العادية</t>
  </si>
  <si>
    <t>العمال المهرة في الزراعة وصيدالاسماك</t>
  </si>
  <si>
    <t>العاملون في الخدمات والباعة في المحلات التجارية والأسواق</t>
  </si>
  <si>
    <t>الكتبة</t>
  </si>
  <si>
    <t>الفنيون والاختصاصيون المساعدون</t>
  </si>
  <si>
    <t>الاختصاصيون</t>
  </si>
  <si>
    <t>G.Total</t>
  </si>
  <si>
    <t>المجموع العام</t>
  </si>
  <si>
    <t>Occupation of Husband</t>
  </si>
  <si>
    <r>
      <rPr>
        <b/>
        <sz val="12"/>
        <rFont val="Arial"/>
        <family val="2"/>
      </rPr>
      <t xml:space="preserve"> مهنة الزوجة</t>
    </r>
    <r>
      <rPr>
        <b/>
        <sz val="10"/>
        <rFont val="Arial"/>
        <family val="2"/>
      </rPr>
      <t xml:space="preserve">  Occupation of Wife</t>
    </r>
  </si>
  <si>
    <t>مهنة الزوج</t>
  </si>
  <si>
    <t>Table No. (16-1)</t>
  </si>
  <si>
    <t>جدول رقم (16-1)</t>
  </si>
  <si>
    <t>MARRIAGES BY WIFE AND HUSBAND OCCUPATION</t>
  </si>
  <si>
    <t>عقود الزواج حسب مهنة الزوجة والزوج</t>
  </si>
  <si>
    <t>Table No. (16-2)</t>
  </si>
  <si>
    <t>جدول رقم (16-2)</t>
  </si>
  <si>
    <t>الجنسية</t>
  </si>
  <si>
    <t>بدون مهنة
 No Occup</t>
  </si>
  <si>
    <t>الأفراد الذين لم يصنفوا حسب المهنة
Not Known</t>
  </si>
  <si>
    <t>المهن العادية
 Elementary Occupations</t>
  </si>
  <si>
    <t>مشغلو الالات والمعدات ومجمعوها
PLANT AND MACHINE OPERATORS AND ASSEMBLERS</t>
  </si>
  <si>
    <t>العاملون في الحرف وما اليها من المهن
CRAFT AND RELATED TRADES WORKERS</t>
  </si>
  <si>
    <t>العمال المهرة في الزراعة وصيدالاسماك
Skilled Agricultural And Fishery Workers</t>
  </si>
  <si>
    <t>العاملون في الخدمات والباعة في المحلات التجارية والأسواق
Service Workers And Shop And Market Sales Workers</t>
  </si>
  <si>
    <t>الكتبة
Clerks</t>
  </si>
  <si>
    <t>الفنيون والاختصاصيون المساعدون
Technicians And Associate Professionals</t>
  </si>
  <si>
    <t>الاختصاصيون
Professionals</t>
  </si>
  <si>
    <t>Table No. (16-3)</t>
  </si>
  <si>
    <t>جدول رقم (16-3)</t>
  </si>
  <si>
    <r>
      <t xml:space="preserve"> Graph No. (8) </t>
    </r>
    <r>
      <rPr>
        <b/>
        <sz val="12"/>
        <rFont val="Arial"/>
        <family val="2"/>
      </rPr>
      <t>شكل رقم</t>
    </r>
  </si>
  <si>
    <t>Table No. (17-1)</t>
  </si>
  <si>
    <t>جدول رقم (17-1)</t>
  </si>
  <si>
    <t>Relation From First Class القرابة من الدرجة الأولى</t>
  </si>
  <si>
    <t>MARRIAGES FOR QATARIS ACCORDING TO THE RELATIONS,
 AGE GROUP OF WIFE AND HUSBAND</t>
  </si>
  <si>
    <t>عقود الزواج للقطريين حسب صلة القرابة وفئة عمر الزوجة والزوج</t>
  </si>
  <si>
    <t>Table No. (17-2)</t>
  </si>
  <si>
    <t>جدول رقم (17-2)</t>
  </si>
  <si>
    <t>Relation From Second Class القرابة من الدرجة الثانية</t>
  </si>
  <si>
    <t>Table No. (17-3)</t>
  </si>
  <si>
    <t>جدول رقم (17-3)</t>
  </si>
  <si>
    <t>No Relation لا توجد صلة قرابة</t>
  </si>
  <si>
    <t>الزوج غير قطري والزوجة غير قطرية</t>
  </si>
  <si>
    <t>الزوج غير قطري والزوجة قطرية</t>
  </si>
  <si>
    <t>الزوج قطرية والزوجة غير قطرية</t>
  </si>
  <si>
    <t>الزوج قطري والزوجة قطرية</t>
  </si>
  <si>
    <t>عدد الحالات
No. of cases</t>
  </si>
  <si>
    <t>No. of sons</t>
  </si>
  <si>
    <t>عدد الأبناء</t>
  </si>
  <si>
    <t>No. of cases</t>
  </si>
  <si>
    <t>عدد الحالات</t>
  </si>
  <si>
    <t>Non-Qatari Husband &amp; Non-Qatari Wife</t>
  </si>
  <si>
    <t>Non-Qatari Husband &amp; Qatari Wife</t>
  </si>
  <si>
    <t>Qatari Husband &amp; Non-Qatari Wife</t>
  </si>
  <si>
    <t>الزوج قطري والزوجة غير قطرية</t>
  </si>
  <si>
    <t>Qatari Husband &amp; Qatari Wife</t>
  </si>
  <si>
    <t>Nationality</t>
  </si>
  <si>
    <t>Particulars</t>
  </si>
  <si>
    <t>البيـــان</t>
  </si>
  <si>
    <r>
      <t xml:space="preserve"> Graph No. (9) </t>
    </r>
    <r>
      <rPr>
        <b/>
        <sz val="12"/>
        <rFont val="Arial"/>
        <family val="2"/>
      </rPr>
      <t>شكل رقم</t>
    </r>
  </si>
  <si>
    <t>جدول رقم (19)</t>
  </si>
  <si>
    <r>
      <t xml:space="preserve"> Graph No. (10) </t>
    </r>
    <r>
      <rPr>
        <b/>
        <sz val="12"/>
        <rFont val="Arial"/>
        <family val="2"/>
      </rPr>
      <t>شكل رقم</t>
    </r>
  </si>
  <si>
    <t>جدول رقم (20)</t>
  </si>
  <si>
    <t>Graph No. (11) شكل رقم</t>
  </si>
  <si>
    <r>
      <t xml:space="preserve">قطري  </t>
    </r>
    <r>
      <rPr>
        <sz val="8"/>
        <rFont val="Arial"/>
        <family val="2"/>
      </rPr>
      <t>Qatari</t>
    </r>
  </si>
  <si>
    <r>
      <t xml:space="preserve">غير قطري </t>
    </r>
    <r>
      <rPr>
        <sz val="8"/>
        <rFont val="Arial"/>
        <family val="2"/>
      </rPr>
      <t>Non Qatari</t>
    </r>
  </si>
  <si>
    <t>جدول رقم (21)</t>
  </si>
  <si>
    <t>DIVORCES BY NATIONALITY OF HUSBAND, NATIONALITY
OF WIFE AND MONTH</t>
  </si>
  <si>
    <t>إشهادات الطلاق حسب جنسية الزوج والزوجة والشهر</t>
  </si>
  <si>
    <r>
      <t xml:space="preserve"> Graph No. (12) </t>
    </r>
    <r>
      <rPr>
        <b/>
        <sz val="12"/>
        <rFont val="Arial"/>
        <family val="2"/>
      </rPr>
      <t>شكل رقم</t>
    </r>
  </si>
  <si>
    <t>Percentage of type of divorce</t>
  </si>
  <si>
    <t>النسبة المئوية لنوع الطلاق</t>
  </si>
  <si>
    <t>نوع الطلاق Type of Divorce</t>
  </si>
  <si>
    <t>DIVORCES BY TYPE OF DIVORCE AND NATIONALITY OF HUSBAND</t>
  </si>
  <si>
    <t>إشهادات الطلاق حسب نوع الطلاق وجنسية الزوج</t>
  </si>
  <si>
    <r>
      <t xml:space="preserve"> Graph No. (13) </t>
    </r>
    <r>
      <rPr>
        <b/>
        <sz val="12"/>
        <rFont val="Arial"/>
        <family val="2"/>
      </rPr>
      <t>شكل رقم</t>
    </r>
  </si>
  <si>
    <r>
      <t xml:space="preserve"> Graph No. (14) </t>
    </r>
    <r>
      <rPr>
        <b/>
        <sz val="12"/>
        <rFont val="Arial"/>
        <family val="2"/>
      </rPr>
      <t>شكل رقم</t>
    </r>
  </si>
  <si>
    <t>فئة عمر الزوج بالسنوات</t>
  </si>
  <si>
    <t>DIVORCES BY TYPE OF DIVORCE AND AGE GROUP OF HUSBAND</t>
  </si>
  <si>
    <t>إشهادات الطلاق حسب نوع الطلاق وفئة عمر الزوج</t>
  </si>
  <si>
    <t>فئة عمر الزوجة بالسنوات</t>
  </si>
  <si>
    <t>DIVORCES BY TYPE OF DIVORCE AND AGE GROUP OF WIFE</t>
  </si>
  <si>
    <t>إشهادات الطلاق حسب نوع الطلاق وفئة عمر الزوجة</t>
  </si>
  <si>
    <t>Percentage Type of Divorce</t>
  </si>
  <si>
    <t>النسبة لنوع الطلاق</t>
  </si>
  <si>
    <t>10-14</t>
  </si>
  <si>
    <t>5-9</t>
  </si>
  <si>
    <t>Before Consummation</t>
  </si>
  <si>
    <t>قبل الدخول</t>
  </si>
  <si>
    <t>Duration of Marriage
In Years</t>
  </si>
  <si>
    <t>مدة الحياة الزواجية بالسنوات</t>
  </si>
  <si>
    <t>Table No (25-1)</t>
  </si>
  <si>
    <t>جدول رقم (25-1)</t>
  </si>
  <si>
    <t>DIVORCES BY TYPE OF DIVORCE AND DURATION OF MARRIAGE OF HUSBAND</t>
  </si>
  <si>
    <t>إشهادات الطلاق حسب نوع الطلاق ومدة الحياة الزواجية للزوج</t>
  </si>
  <si>
    <t>Table No (25-2)</t>
  </si>
  <si>
    <t>جدول رقم (25-2)</t>
  </si>
  <si>
    <t>Table No (25-3)</t>
  </si>
  <si>
    <t>جدول رقم (25-3)</t>
  </si>
  <si>
    <t>Table No (26-1)</t>
  </si>
  <si>
    <t>جدول رقم (26-1)</t>
  </si>
  <si>
    <t>DIVORCES BY TYPE OF DIVORCE AND DURATION OF MARRIAGE OF WIFE</t>
  </si>
  <si>
    <t>إشهادات الطلاق حسب نوع الطلاق ومدة الحياة الزواجية للزوجة</t>
  </si>
  <si>
    <t>Table No (26-2)</t>
  </si>
  <si>
    <t>جدول رقم (26-2)</t>
  </si>
  <si>
    <t>Table No (26-3)</t>
  </si>
  <si>
    <t>جدول رقم (26-3)</t>
  </si>
  <si>
    <t xml:space="preserve">(1) مدة الحياة الزواجية للزواج الأخير فقط </t>
  </si>
  <si>
    <t>DIVORCES BY DURATION OF MARRIAGE AND AGE GROUP OF HUSBAND</t>
  </si>
  <si>
    <t>إشهادات الطلاق حسب مدة الحياة الزواجية وفئة عمر الزوج</t>
  </si>
  <si>
    <t xml:space="preserve"> Duration of Marriages In Years (1) مدة الحياة الزواجية بالسنوات</t>
  </si>
  <si>
    <t>DIVORCES BY DURATION OF MARRIAGE AND AGE GROUP OF WIFE</t>
  </si>
  <si>
    <t>إشهادات الطلاق حسب مدة الحياة الزواجية وفئة عمر الزوجة</t>
  </si>
  <si>
    <t>DIVORCES BY AGE GROUP OF WIFE AND HUSBAND</t>
  </si>
  <si>
    <t>إشهادات الطلاق حسب فئة عمر الزوجة والزوج</t>
  </si>
  <si>
    <t>DIVORCES BY HUSBAND AGE GROUP AND NATIONALITY</t>
  </si>
  <si>
    <t>إشهادات الطلاق حسب فئة عمر الزوج وجنسيته</t>
  </si>
  <si>
    <t>DIVORCES BY WIFE AGE GROUP AND NATIONALITY</t>
  </si>
  <si>
    <t>إشهادات الطلاق حسب فئة عمر الزوجة وجنسيتها</t>
  </si>
  <si>
    <t>بافي دول مجلس التعاون
Other G.C.C. Countries</t>
  </si>
  <si>
    <t>DIVORCES BY NATIONALITY OF WIFE AND HUSBAND</t>
  </si>
  <si>
    <t>إشهادات الطلاق حسب جنسية الزوجة والزوج</t>
  </si>
  <si>
    <r>
      <t xml:space="preserve"> Graph No. (15) </t>
    </r>
    <r>
      <rPr>
        <b/>
        <sz val="12"/>
        <rFont val="Arial"/>
        <family val="2"/>
      </rPr>
      <t>شكل رقم</t>
    </r>
  </si>
  <si>
    <t>عدد الزوجات الباقيات بالعصمة Number of Wives</t>
  </si>
  <si>
    <t>DIVORCES BY EDUCATIONAL STATUS OF WIFE AND HUSBAND</t>
  </si>
  <si>
    <t>إشهادات الطلاق حسب الحالة التعليمية للزوجة والزوج</t>
  </si>
  <si>
    <r>
      <t xml:space="preserve"> Graph No. (16) </t>
    </r>
    <r>
      <rPr>
        <b/>
        <sz val="12"/>
        <rFont val="Arial"/>
        <family val="2"/>
      </rPr>
      <t>شكل رقم</t>
    </r>
  </si>
  <si>
    <t>Age Group of Wife In Years</t>
  </si>
  <si>
    <t>DIVORCES BY EDUCATIONAL STATUS OF WIFE HER AGE GROUP</t>
  </si>
  <si>
    <t>إشهادات الطلاق حسب الحالة التعليمية للزوجة وفئة عمرها</t>
  </si>
  <si>
    <t>إشهادات الطلاق حسب مهنة الزوجة والزوج</t>
  </si>
  <si>
    <r>
      <t xml:space="preserve"> Graph No. (17) </t>
    </r>
    <r>
      <rPr>
        <b/>
        <sz val="12"/>
        <rFont val="Arial"/>
        <family val="2"/>
      </rPr>
      <t>شكل رقم</t>
    </r>
  </si>
  <si>
    <t>إشهادات الطلاق للزوج
 Husband's Divorces</t>
  </si>
  <si>
    <t>إشهادات الطلاق للزوجة
 Wife's Divorces</t>
  </si>
  <si>
    <t>القرابة من الدرجة الأولى  Relation of first class</t>
  </si>
  <si>
    <t>DIVORCES OF QATARI  ACCORDING TO RELATION AND AGE GROUP OF WIFE AND HUSBAND</t>
  </si>
  <si>
    <t xml:space="preserve">إشهادات الطلاق للقطريين حسب صلة القرابة وفئة عمر الزوج والزوجة </t>
  </si>
  <si>
    <r>
      <t xml:space="preserve"> Graph No. (18) </t>
    </r>
    <r>
      <rPr>
        <b/>
        <sz val="12"/>
        <rFont val="Arial"/>
        <family val="2"/>
      </rPr>
      <t>شكل رقم</t>
    </r>
  </si>
  <si>
    <t>القرابة من الدرجة الثانية  Relation of second class</t>
  </si>
  <si>
    <r>
      <t xml:space="preserve"> Graph No. (19) </t>
    </r>
    <r>
      <rPr>
        <b/>
        <sz val="12"/>
        <rFont val="Arial"/>
        <family val="2"/>
      </rPr>
      <t>شكل رقم</t>
    </r>
  </si>
  <si>
    <t xml:space="preserve">لا توجد صلة قرابة No Relation </t>
  </si>
  <si>
    <r>
      <t xml:space="preserve"> Graph No. (20) </t>
    </r>
    <r>
      <rPr>
        <b/>
        <sz val="12"/>
        <rFont val="Arial"/>
        <family val="2"/>
      </rPr>
      <t>شكل رقم</t>
    </r>
  </si>
  <si>
    <t xml:space="preserve">النسبة </t>
  </si>
  <si>
    <t xml:space="preserve">عدد الأبناء للمطلقة حسب فئة عمرالزوج والزوجة </t>
  </si>
  <si>
    <r>
      <t xml:space="preserve"> Graph No. (21) </t>
    </r>
    <r>
      <rPr>
        <b/>
        <sz val="12"/>
        <rFont val="Arial"/>
        <family val="2"/>
      </rPr>
      <t>شكل رقم</t>
    </r>
  </si>
  <si>
    <r>
      <t xml:space="preserve"> Graph No. (22) </t>
    </r>
    <r>
      <rPr>
        <b/>
        <sz val="12"/>
        <rFont val="Arial"/>
        <family val="2"/>
      </rPr>
      <t>شكل رقم</t>
    </r>
  </si>
  <si>
    <t>Table No. (39-1)</t>
  </si>
  <si>
    <t>جدول رقم (39-1)</t>
  </si>
  <si>
    <t xml:space="preserve">Percentage </t>
  </si>
  <si>
    <t>Table No. (39-2)</t>
  </si>
  <si>
    <t>جدول رقم (39-2)</t>
  </si>
  <si>
    <r>
      <t xml:space="preserve"> Graph No. (24) </t>
    </r>
    <r>
      <rPr>
        <b/>
        <sz val="12"/>
        <rFont val="Arial"/>
        <family val="2"/>
      </rPr>
      <t>شكل رقم</t>
    </r>
  </si>
  <si>
    <t xml:space="preserve"> Duration of Marriage for Husband</t>
  </si>
  <si>
    <t>مدة الحياة الزواجية للزوج</t>
  </si>
  <si>
    <t>Table No. (7)</t>
  </si>
  <si>
    <t>Table No. (5)</t>
  </si>
  <si>
    <t>Table No. (4)</t>
  </si>
  <si>
    <t>Table No. (3)</t>
  </si>
  <si>
    <t xml:space="preserve">Table No. (1)                                                         </t>
  </si>
  <si>
    <t>جدول رقم (10)</t>
  </si>
  <si>
    <t>Table No. (10)</t>
  </si>
  <si>
    <t>جدول رقم (18-1)</t>
  </si>
  <si>
    <t>Table No. (18-1)</t>
  </si>
  <si>
    <t>جدول رقم (18-3)</t>
  </si>
  <si>
    <t>Table No. (18-3)</t>
  </si>
  <si>
    <t>جدول رقم (18-2)</t>
  </si>
  <si>
    <t>Table No. (18-2)</t>
  </si>
  <si>
    <t>Table No. (19)</t>
  </si>
  <si>
    <t>Table No. (20)</t>
  </si>
  <si>
    <t>Table No. (21)</t>
  </si>
  <si>
    <t>جدول رقم (23)</t>
  </si>
  <si>
    <t>Table No. (23)</t>
  </si>
  <si>
    <t>جدول رقم (24)</t>
  </si>
  <si>
    <t>Table No. (24)</t>
  </si>
  <si>
    <t>NOT REGISTERED MARRIAGES AND DIVORCES
BY  NATIONALITY</t>
  </si>
  <si>
    <t xml:space="preserve">Table No. (2)                                                         </t>
  </si>
  <si>
    <t>جدول رقم (35)</t>
  </si>
  <si>
    <t>Table No. (35)</t>
  </si>
  <si>
    <t>جدول رقم (40-1)</t>
  </si>
  <si>
    <t>Table No. (40-1)</t>
  </si>
  <si>
    <t>جدول رقم (40-3)</t>
  </si>
  <si>
    <t>Table No. (40-3)</t>
  </si>
  <si>
    <t>جدول رقم (40-2)</t>
  </si>
  <si>
    <t>Table No. (40-2)</t>
  </si>
  <si>
    <t>جدول رقم (41-1)</t>
  </si>
  <si>
    <t>Table No. (41-1)</t>
  </si>
  <si>
    <t>جدول رقم (41-3)</t>
  </si>
  <si>
    <t>Table No. (41-3)</t>
  </si>
  <si>
    <t>جدول رقم (41-2)</t>
  </si>
  <si>
    <t>Table No. (41-2)</t>
  </si>
  <si>
    <t>3</t>
  </si>
  <si>
    <t>5</t>
  </si>
  <si>
    <t>طالب الطلاق</t>
  </si>
  <si>
    <t>Bulletin Year</t>
  </si>
  <si>
    <t>Other G.C.C Countries</t>
  </si>
  <si>
    <t>Other Arab Countries</t>
  </si>
  <si>
    <t>Asian Countries</t>
  </si>
  <si>
    <t>Other Countries</t>
  </si>
  <si>
    <t>-20</t>
  </si>
  <si>
    <t>-1</t>
  </si>
  <si>
    <t>1</t>
  </si>
  <si>
    <t>2</t>
  </si>
  <si>
    <t>25+</t>
  </si>
  <si>
    <t>الدوحة</t>
  </si>
  <si>
    <t>الريان</t>
  </si>
  <si>
    <t>الوكرة</t>
  </si>
  <si>
    <t>ام صلال</t>
  </si>
  <si>
    <t>الخور</t>
  </si>
  <si>
    <t>الشمال</t>
  </si>
  <si>
    <r>
      <t>المجموع</t>
    </r>
    <r>
      <rPr>
        <b/>
        <sz val="8"/>
        <rFont val="Arial"/>
        <family val="2"/>
      </rPr>
      <t xml:space="preserve">
Total</t>
    </r>
  </si>
  <si>
    <r>
      <rPr>
        <b/>
        <sz val="12"/>
        <rFont val="Arial"/>
        <family val="2"/>
      </rPr>
      <t>فئة عمر الزوجة  بالسنوات</t>
    </r>
    <r>
      <rPr>
        <b/>
        <sz val="10"/>
        <rFont val="Arial"/>
        <family val="2"/>
      </rPr>
      <t xml:space="preserve">   Age Group of Wife in years </t>
    </r>
  </si>
  <si>
    <t>غير مبين 
Not Stated</t>
  </si>
  <si>
    <t>Divorce Inditiator</t>
  </si>
  <si>
    <t>الزوج</t>
  </si>
  <si>
    <t>الزوجة</t>
  </si>
  <si>
    <t>Huband</t>
  </si>
  <si>
    <t>Wife</t>
  </si>
  <si>
    <t>إشهادات الطلاق حسب نوع الطلاق وطالب الطلاق وجنسية الزوج والزوجة</t>
  </si>
  <si>
    <t>نــوع الطـــلاق Divorce type</t>
  </si>
  <si>
    <t>General Total</t>
  </si>
  <si>
    <r>
      <rPr>
        <b/>
        <sz val="12"/>
        <rFont val="Arial"/>
        <family val="2"/>
      </rPr>
      <t xml:space="preserve">طالب الطلاق </t>
    </r>
    <r>
      <rPr>
        <b/>
        <sz val="10"/>
        <rFont val="Arial"/>
        <family val="2"/>
      </rPr>
      <t>Divrorce Initiator</t>
    </r>
  </si>
  <si>
    <t>إشهادات الطلاق حسب جنسية الزوج والزوجة وعدد طالبي الطلاق ومدة الحياة الزواجية للزوج</t>
  </si>
  <si>
    <t>المجموع
Total</t>
  </si>
  <si>
    <t>No. of children</t>
  </si>
  <si>
    <t>عدد الأبناء للمطلقة من الزوج الحالي حسب جنسية الزوجة</t>
  </si>
  <si>
    <t>عدد الأبناء للمطلقة من الأزواج السابقين حسب جنسية الزوجة</t>
  </si>
  <si>
    <t>جدول رقم (27)</t>
  </si>
  <si>
    <t>Table No. (27)</t>
  </si>
  <si>
    <t>جدول رقم (32-1)</t>
  </si>
  <si>
    <t>Table No (32-1)</t>
  </si>
  <si>
    <t>جدول رقم (32-3)</t>
  </si>
  <si>
    <t>Table No (32-3)</t>
  </si>
  <si>
    <t>جدول رقم (32-2)</t>
  </si>
  <si>
    <t>Table No (32-2)</t>
  </si>
  <si>
    <t>جدول رقم (33-3)</t>
  </si>
  <si>
    <t>جدول رقم (33-2)</t>
  </si>
  <si>
    <t>جدول رقم (33-1)</t>
  </si>
  <si>
    <t>جدول رقم (36)</t>
  </si>
  <si>
    <t>Table No. (36)</t>
  </si>
  <si>
    <t>جدول رقم (42-1)</t>
  </si>
  <si>
    <t>Table No. (42-1)</t>
  </si>
  <si>
    <t>جدول رقم (42-3)</t>
  </si>
  <si>
    <t>Table No. (42-3)</t>
  </si>
  <si>
    <t>جدول رقم (42-2)</t>
  </si>
  <si>
    <t>Table No. (42-2)</t>
  </si>
  <si>
    <t>جدول رقم (43-1)</t>
  </si>
  <si>
    <t>Table No. (43-1)</t>
  </si>
  <si>
    <t>جدول رقم (43-3)</t>
  </si>
  <si>
    <t>Table No. (43-3)</t>
  </si>
  <si>
    <t>جدول رقم (43-2)</t>
  </si>
  <si>
    <t>Table No. (43-2)</t>
  </si>
  <si>
    <t>جدول رقم (45)</t>
  </si>
  <si>
    <t>Table No. (45)</t>
  </si>
  <si>
    <t>جدول رقم (46)</t>
  </si>
  <si>
    <t>Table No. (46)</t>
  </si>
  <si>
    <t>جدول رقم (47)</t>
  </si>
  <si>
    <t>Table No. (47)</t>
  </si>
  <si>
    <t>جدول رقم (31-1)</t>
  </si>
  <si>
    <t>Table No (31-1)</t>
  </si>
  <si>
    <t>جدول رقم (31-3)</t>
  </si>
  <si>
    <t>Table No (31-3)</t>
  </si>
  <si>
    <t>جدول رقم (31-2)</t>
  </si>
  <si>
    <t>Table No (31-2)</t>
  </si>
  <si>
    <t>جدول رقم (28-1)</t>
  </si>
  <si>
    <t>Table No (28-1)</t>
  </si>
  <si>
    <t>جدول رقم (28-3)</t>
  </si>
  <si>
    <t>Table No (28-3)</t>
  </si>
  <si>
    <t>جدول رقم (28-2)</t>
  </si>
  <si>
    <t>Table No (28-2)</t>
  </si>
  <si>
    <t>جدول رقم (29)</t>
  </si>
  <si>
    <t>Table No. (29)</t>
  </si>
  <si>
    <t>جدول رقم (30-1)</t>
  </si>
  <si>
    <t>Table No (30-1)</t>
  </si>
  <si>
    <t>جدول رقم (30-3)</t>
  </si>
  <si>
    <t>Table No (30-3)</t>
  </si>
  <si>
    <t>جدول رقم (30-2)</t>
  </si>
  <si>
    <t>Table No (30-2)</t>
  </si>
  <si>
    <t>Table No. (33-1)</t>
  </si>
  <si>
    <t>Table No. (33-3)</t>
  </si>
  <si>
    <t>Table No. (33-2)</t>
  </si>
  <si>
    <t>جدول رقم (34)</t>
  </si>
  <si>
    <t>Table No. (34)</t>
  </si>
  <si>
    <t>جدول رقم (38-1)</t>
  </si>
  <si>
    <t>Table No. (38-1)</t>
  </si>
  <si>
    <t>جدول رقم (38-3)</t>
  </si>
  <si>
    <t>Table No. (38-3)</t>
  </si>
  <si>
    <t>جدول رقم (38-2)</t>
  </si>
  <si>
    <t>Table No. (38-2)</t>
  </si>
  <si>
    <t>جدول رقم (44)</t>
  </si>
  <si>
    <t>Table No. (44)</t>
  </si>
  <si>
    <t>جدول رقم (37)</t>
  </si>
  <si>
    <t>Table No. (37)</t>
  </si>
  <si>
    <t>عدد الأبناء للزوج الحالي فقط</t>
  </si>
  <si>
    <t>إشهادات الطلاق حسب عدد الزوجات الباقيات بالعصمة وجنسية الزوج وفئة عمره</t>
  </si>
  <si>
    <t>DIVORCES BY NUMBER OF WIVES AND NATIONALITY OF HUSBAND AND HIS AGE GROUP</t>
  </si>
  <si>
    <t xml:space="preserve">Number of children of the current husband </t>
  </si>
  <si>
    <t xml:space="preserve">DIVORCES BY NUMBER OF CHILDREN AND AGE GROUP OF WIFE </t>
  </si>
  <si>
    <t xml:space="preserve"> NUMBER OF CHILDREN OF DIVORCEE BY AGE GROUP OF HUSBAND AND WIFE </t>
  </si>
  <si>
    <r>
      <t xml:space="preserve"> Graph No. (23) </t>
    </r>
    <r>
      <rPr>
        <b/>
        <sz val="12"/>
        <rFont val="Arial"/>
        <family val="2"/>
      </rPr>
      <t>شكل رقم</t>
    </r>
  </si>
  <si>
    <t>عدد الأبناء
No. of children</t>
  </si>
  <si>
    <t>عدد الأبناء
No. of Children</t>
  </si>
  <si>
    <t>عدد الأبنــاء No. of Children</t>
  </si>
  <si>
    <t>الزوج قطري والزوجة قطرية
Qatari Husband &amp; Qatari Wife</t>
  </si>
  <si>
    <t>الزوج قطري والزوجة غير قطرية
Qatari Husband &amp; Non-Qatari Wife</t>
  </si>
  <si>
    <t>الزوج غير قطري والزوجة قطرية
Non-Qatari Husband &amp; Qatari Wife</t>
  </si>
  <si>
    <t>الزوج غير قطري والزوجة غير قطرية
Non-Qatari Husband &amp; Non-Qatari Wife</t>
  </si>
  <si>
    <t>بينونة صغرى
Minor irrevocable divorce</t>
  </si>
  <si>
    <t xml:space="preserve">رجعي
Revocable divorce </t>
  </si>
  <si>
    <t>خلع
Divorce against compensation</t>
  </si>
  <si>
    <t>بينونة كبرى
Major  irrevocable divorce</t>
  </si>
  <si>
    <t>الظعاين</t>
  </si>
  <si>
    <t>GENERAL MARRIAGE RATE BY NATIOANLITY &amp; GENDER PER 1000 POPULATION
(15 YEAR AND ABOVE)</t>
  </si>
  <si>
    <t>MARRIAGES BY NUMBER OF WIFE'S CHILDREN &amp; NATIONALITY OF HUSBAND &amp; WIFE</t>
  </si>
  <si>
    <r>
      <rPr>
        <b/>
        <sz val="10"/>
        <rFont val="Arial"/>
        <family val="2"/>
      </rPr>
      <t xml:space="preserve"> Duration of Marriages In Years (1)</t>
    </r>
    <r>
      <rPr>
        <b/>
        <sz val="11"/>
        <rFont val="Arial"/>
        <family val="2"/>
      </rPr>
      <t xml:space="preserve"> مدة الحياة الزواجية بالسنوات </t>
    </r>
  </si>
  <si>
    <r>
      <t xml:space="preserve"> Duration of Marriages In Years (1)</t>
    </r>
    <r>
      <rPr>
        <b/>
        <sz val="11"/>
        <rFont val="Arial"/>
        <family val="2"/>
      </rPr>
      <t xml:space="preserve"> مدة الحياة الزواجية بالسنوات </t>
    </r>
  </si>
  <si>
    <r>
      <t xml:space="preserve">فئة عمر الزوج  بالسنوات   </t>
    </r>
    <r>
      <rPr>
        <b/>
        <sz val="10"/>
        <rFont val="Arial"/>
        <family val="2"/>
      </rPr>
      <t xml:space="preserve">Age Group of Husband in years </t>
    </r>
  </si>
  <si>
    <t>DIVORCES BY NUMBER OF WIFE'S CHILDREN &amp; NATIONALITY OF HUSBAND &amp; WIFE</t>
  </si>
  <si>
    <t>دبلوم فوق الثانوي
Post Secondary</t>
  </si>
  <si>
    <t>0</t>
  </si>
  <si>
    <t>+6</t>
  </si>
  <si>
    <t>6+</t>
  </si>
  <si>
    <t>دبلوم فوق الثانوي</t>
  </si>
  <si>
    <t>Post Secondary</t>
  </si>
  <si>
    <t>DIVORCES  BY NATIONALITY OF HUSBAND, WIFE &amp; NUMBER OF WIFE'S CHILDREN  AND DURATION
 OF MARRIAGE FOR HUSBAND</t>
  </si>
  <si>
    <t>DIVORCES  BY HUSBAND AND WIFE, NATIONALITY, DIVORCE INITIATORS NUMBER  AND 
DURATION OF MARRIAGE FOR HUSBAND</t>
  </si>
  <si>
    <t xml:space="preserve"> </t>
  </si>
  <si>
    <t xml:space="preserve">عقود الزواج وإشهادات الطلاق المسجلة حسب جنسية الزوج </t>
  </si>
  <si>
    <t>عقود الزواج وإشهادات الطلاق لفاقدي القيد حسب الجنسية</t>
  </si>
  <si>
    <t>فاقدي القيد لعقود الزواج
Not Registered Marriages</t>
  </si>
  <si>
    <t>فاقدي القيد لإشهادات الطلاق
Not Registered Divorces</t>
  </si>
  <si>
    <t>REGISTERED MARRIAGES AND DIVORCES BY HUSBAND’S NATIONALITY</t>
  </si>
  <si>
    <t>DIVORCES BY TYPE, INITIATOR AND NATIONALITIES OF HUSBAND AND WIFE</t>
  </si>
  <si>
    <t>MARRIAGES BY NUMBER OF HUSBAND'S CHILDREN &amp; NATIOANLTIY OF HUSBAND &amp; WIFE</t>
  </si>
  <si>
    <t>AVERAGE AGE AT FIRST MARRIAGE</t>
  </si>
  <si>
    <t>معدلات الزواج والطلاق الخام لكل ألف من السكان</t>
  </si>
  <si>
    <t>معدل الزواج العام حسب الجنسية والنوع لكل ألف من السكان  (15 سنة فأكثر)</t>
  </si>
  <si>
    <t>عدد الأبناء للمطلقة حسب فئة عمر الزوج
Number of children of divorcee by age group of husband</t>
  </si>
  <si>
    <t>عدد الأبناء للمطلقة حسب فئة عمر الزوجة
Number of children of divorcee by age group of wife</t>
  </si>
  <si>
    <r>
      <t xml:space="preserve">البلدية
</t>
    </r>
    <r>
      <rPr>
        <sz val="11"/>
        <rFont val="Arial"/>
        <family val="2"/>
      </rPr>
      <t>مكان إقامة الزوج</t>
    </r>
  </si>
  <si>
    <t xml:space="preserve">NO. OF CHILDREN OF THE DIVORCEE FROM CURRENT
 HUSBANDS BY WIFE NATIONALITY    </t>
  </si>
  <si>
    <t>NO. OF CHILDREN OF THE DIVORCEE FROM PREVIOUS HUSBANDS
BY WIFE NATIONALITY</t>
  </si>
  <si>
    <t>الشحانية</t>
  </si>
  <si>
    <t>(0) حالة طلاق غير مبين عدد أبنائهم من الزوج الحالي فقط</t>
  </si>
  <si>
    <t>* تم توثيقها في دولة قطر</t>
  </si>
  <si>
    <t>* It has been documened in the State of Qatar</t>
  </si>
  <si>
    <t xml:space="preserve"> (0) Numbe of children of Divorce cases Not stated</t>
  </si>
  <si>
    <t>* عدد الأبناء للزوج الحالي فقط</t>
  </si>
  <si>
    <t xml:space="preserve">* Number of children of the current husband </t>
  </si>
  <si>
    <t>خارج قطر</t>
  </si>
  <si>
    <t>FIRST MARRIAGES OF HUSBAND AND WIFE BY AGE GROUP</t>
  </si>
  <si>
    <t>عقود الزواج الأول للزوج والزوجة حسب فئات العمر</t>
  </si>
  <si>
    <t>العمال المهرة في الزراعة وصيد الاسماك</t>
  </si>
  <si>
    <t>*عدد الأبنــاء No. of children *</t>
  </si>
  <si>
    <t>قطري</t>
  </si>
  <si>
    <t>Qatari</t>
  </si>
  <si>
    <t>غير قطري</t>
  </si>
  <si>
    <t>Non-Qatari</t>
  </si>
  <si>
    <t>Al Shahannia</t>
  </si>
  <si>
    <t>Outside Qatar</t>
  </si>
  <si>
    <r>
      <t xml:space="preserve">البلدية </t>
    </r>
    <r>
      <rPr>
        <sz val="11"/>
        <rFont val="Arial"/>
        <family val="2"/>
      </rPr>
      <t>(مكان إقامة الزوجة)</t>
    </r>
  </si>
  <si>
    <t>Table No. (6)</t>
  </si>
  <si>
    <t>جدول رقم (6)</t>
  </si>
  <si>
    <r>
      <t xml:space="preserve">جنسية الزوجة
</t>
    </r>
    <r>
      <rPr>
        <b/>
        <sz val="10"/>
        <rFont val="Arial"/>
        <family val="2"/>
      </rPr>
      <t>Nationality of Wife</t>
    </r>
  </si>
  <si>
    <r>
      <t xml:space="preserve">جنسية الزوج
</t>
    </r>
    <r>
      <rPr>
        <b/>
        <sz val="10"/>
        <rFont val="Arial"/>
        <family val="2"/>
      </rPr>
      <t>Nationality of Husband</t>
    </r>
  </si>
  <si>
    <r>
      <t xml:space="preserve">قطر
</t>
    </r>
    <r>
      <rPr>
        <b/>
        <sz val="9"/>
        <rFont val="Arial"/>
        <family val="2"/>
      </rPr>
      <t>QATAR</t>
    </r>
  </si>
  <si>
    <r>
      <t xml:space="preserve">النسبة المئوية لجنسية الزوج
</t>
    </r>
    <r>
      <rPr>
        <b/>
        <sz val="9"/>
        <rFont val="Arial"/>
        <family val="2"/>
      </rPr>
      <t xml:space="preserve">Percentage of Husband </t>
    </r>
  </si>
  <si>
    <r>
      <t>غير مبين</t>
    </r>
    <r>
      <rPr>
        <b/>
        <sz val="9"/>
        <rFont val="Arial"/>
        <family val="2"/>
      </rPr>
      <t xml:space="preserve">
Not Stated</t>
    </r>
  </si>
  <si>
    <r>
      <rPr>
        <b/>
        <sz val="11"/>
        <rFont val="Arial"/>
        <family val="2"/>
      </rPr>
      <t>المجموع</t>
    </r>
    <r>
      <rPr>
        <b/>
        <sz val="12"/>
        <rFont val="Arial"/>
        <family val="2"/>
      </rPr>
      <t xml:space="preserve">
</t>
    </r>
    <r>
      <rPr>
        <b/>
        <sz val="9"/>
        <rFont val="Arial"/>
        <family val="2"/>
      </rPr>
      <t>Total</t>
    </r>
  </si>
  <si>
    <r>
      <t xml:space="preserve">لا يوجد
</t>
    </r>
    <r>
      <rPr>
        <b/>
        <sz val="9"/>
        <rFont val="Arial"/>
        <family val="2"/>
      </rPr>
      <t>None</t>
    </r>
  </si>
  <si>
    <r>
      <t xml:space="preserve">لم يسبق له الزواج
</t>
    </r>
    <r>
      <rPr>
        <b/>
        <sz val="9"/>
        <rFont val="Arial"/>
        <family val="2"/>
      </rPr>
      <t>Never-Married</t>
    </r>
  </si>
  <si>
    <r>
      <t xml:space="preserve">متزوج
</t>
    </r>
    <r>
      <rPr>
        <b/>
        <sz val="9"/>
        <rFont val="Arial"/>
        <family val="2"/>
      </rPr>
      <t>Married</t>
    </r>
  </si>
  <si>
    <r>
      <t xml:space="preserve">مطلق
</t>
    </r>
    <r>
      <rPr>
        <b/>
        <sz val="9"/>
        <rFont val="Arial"/>
        <family val="2"/>
      </rPr>
      <t>Divorced</t>
    </r>
  </si>
  <si>
    <r>
      <t xml:space="preserve">أرمل
</t>
    </r>
    <r>
      <rPr>
        <b/>
        <sz val="9"/>
        <rFont val="Arial"/>
        <family val="2"/>
      </rPr>
      <t>Widowed</t>
    </r>
  </si>
  <si>
    <r>
      <t xml:space="preserve">غير مبين
</t>
    </r>
    <r>
      <rPr>
        <b/>
        <sz val="9"/>
        <rFont val="Arial"/>
        <family val="2"/>
      </rPr>
      <t>Not Stated</t>
    </r>
  </si>
  <si>
    <r>
      <t xml:space="preserve">لم يسبق لها الزواج
</t>
    </r>
    <r>
      <rPr>
        <b/>
        <sz val="9"/>
        <rFont val="Arial"/>
        <family val="2"/>
      </rPr>
      <t>Never-Married</t>
    </r>
  </si>
  <si>
    <r>
      <t xml:space="preserve">مطلقه
 </t>
    </r>
    <r>
      <rPr>
        <b/>
        <sz val="9"/>
        <rFont val="Arial"/>
        <family val="2"/>
      </rPr>
      <t>Divorced</t>
    </r>
  </si>
  <si>
    <r>
      <t xml:space="preserve">أرمله
 </t>
    </r>
    <r>
      <rPr>
        <b/>
        <sz val="9"/>
        <rFont val="Arial"/>
        <family val="2"/>
      </rPr>
      <t>Widowed</t>
    </r>
  </si>
  <si>
    <r>
      <t xml:space="preserve">الـزوج
</t>
    </r>
    <r>
      <rPr>
        <b/>
        <sz val="9"/>
        <rFont val="Arial"/>
        <family val="2"/>
      </rPr>
      <t>Husband</t>
    </r>
  </si>
  <si>
    <r>
      <t xml:space="preserve">الــزوجة
</t>
    </r>
    <r>
      <rPr>
        <b/>
        <sz val="9"/>
        <rFont val="Arial"/>
        <family val="2"/>
      </rPr>
      <t>Wife</t>
    </r>
  </si>
  <si>
    <r>
      <t>النسبة للزوج</t>
    </r>
    <r>
      <rPr>
        <sz val="10"/>
        <rFont val="Arial"/>
        <family val="2"/>
      </rPr>
      <t xml:space="preserve">
</t>
    </r>
    <r>
      <rPr>
        <b/>
        <sz val="9"/>
        <rFont val="Arial"/>
        <family val="2"/>
      </rPr>
      <t>Percentage of husband</t>
    </r>
  </si>
  <si>
    <r>
      <t>النسبة للزوج</t>
    </r>
    <r>
      <rPr>
        <sz val="10"/>
        <rFont val="Arial"/>
        <family val="2"/>
      </rPr>
      <t xml:space="preserve">
</t>
    </r>
    <r>
      <rPr>
        <b/>
        <sz val="9"/>
        <rFont val="Arial"/>
        <family val="2"/>
      </rPr>
      <t>Percentage Of Husband</t>
    </r>
  </si>
  <si>
    <r>
      <rPr>
        <b/>
        <sz val="11"/>
        <rFont val="Arial"/>
        <family val="2"/>
      </rPr>
      <t>المجموع</t>
    </r>
    <r>
      <rPr>
        <b/>
        <sz val="12"/>
        <rFont val="Arial"/>
        <family val="2"/>
      </rPr>
      <t xml:space="preserve">
</t>
    </r>
    <r>
      <rPr>
        <b/>
        <sz val="10"/>
        <rFont val="Arial"/>
        <family val="2"/>
      </rPr>
      <t>Total</t>
    </r>
  </si>
  <si>
    <r>
      <rPr>
        <b/>
        <sz val="11"/>
        <rFont val="Arial"/>
        <family val="2"/>
      </rPr>
      <t>جامعية فما فوق</t>
    </r>
    <r>
      <rPr>
        <b/>
        <sz val="12"/>
        <rFont val="Arial"/>
        <family val="2"/>
      </rPr>
      <t xml:space="preserve">
</t>
    </r>
    <r>
      <rPr>
        <b/>
        <sz val="9"/>
        <rFont val="Arial"/>
        <family val="2"/>
      </rPr>
      <t>Univ &amp; Above</t>
    </r>
  </si>
  <si>
    <r>
      <rPr>
        <b/>
        <sz val="11"/>
        <rFont val="Arial"/>
        <family val="2"/>
      </rPr>
      <t>دبلوم فوق الثانوي</t>
    </r>
    <r>
      <rPr>
        <b/>
        <sz val="12"/>
        <rFont val="Arial"/>
        <family val="2"/>
      </rPr>
      <t xml:space="preserve">
</t>
    </r>
    <r>
      <rPr>
        <b/>
        <sz val="9"/>
        <rFont val="Arial"/>
        <family val="2"/>
      </rPr>
      <t>Post Secondary</t>
    </r>
  </si>
  <si>
    <r>
      <rPr>
        <b/>
        <sz val="11"/>
        <rFont val="Arial"/>
        <family val="2"/>
      </rPr>
      <t>ثانوية</t>
    </r>
    <r>
      <rPr>
        <b/>
        <sz val="12"/>
        <rFont val="Arial"/>
        <family val="2"/>
      </rPr>
      <t xml:space="preserve">
</t>
    </r>
    <r>
      <rPr>
        <b/>
        <sz val="9"/>
        <rFont val="Arial"/>
        <family val="2"/>
      </rPr>
      <t>Secondary</t>
    </r>
  </si>
  <si>
    <r>
      <rPr>
        <b/>
        <sz val="11"/>
        <rFont val="Arial"/>
        <family val="2"/>
      </rPr>
      <t>إعدادية</t>
    </r>
    <r>
      <rPr>
        <b/>
        <sz val="12"/>
        <rFont val="Arial"/>
        <family val="2"/>
      </rPr>
      <t xml:space="preserve">
</t>
    </r>
    <r>
      <rPr>
        <b/>
        <sz val="9"/>
        <rFont val="Arial"/>
        <family val="2"/>
      </rPr>
      <t>Preparatory</t>
    </r>
  </si>
  <si>
    <r>
      <rPr>
        <b/>
        <sz val="11"/>
        <rFont val="Arial"/>
        <family val="2"/>
      </rPr>
      <t>إبتدائية</t>
    </r>
    <r>
      <rPr>
        <b/>
        <sz val="12"/>
        <rFont val="Arial"/>
        <family val="2"/>
      </rPr>
      <t xml:space="preserve">
</t>
    </r>
    <r>
      <rPr>
        <b/>
        <sz val="9"/>
        <rFont val="Arial"/>
        <family val="2"/>
      </rPr>
      <t>Primary</t>
    </r>
  </si>
  <si>
    <r>
      <rPr>
        <b/>
        <sz val="11"/>
        <rFont val="Arial"/>
        <family val="2"/>
      </rPr>
      <t>أمية</t>
    </r>
    <r>
      <rPr>
        <b/>
        <sz val="12"/>
        <rFont val="Arial"/>
        <family val="2"/>
      </rPr>
      <t xml:space="preserve">
</t>
    </r>
    <r>
      <rPr>
        <b/>
        <sz val="9"/>
        <rFont val="Arial"/>
        <family val="2"/>
      </rPr>
      <t>Illiterate</t>
    </r>
  </si>
  <si>
    <r>
      <rPr>
        <b/>
        <sz val="11"/>
        <rFont val="Arial"/>
        <family val="2"/>
      </rPr>
      <t>غير مبين</t>
    </r>
    <r>
      <rPr>
        <b/>
        <sz val="12"/>
        <rFont val="Arial"/>
        <family val="2"/>
      </rPr>
      <t xml:space="preserve">
</t>
    </r>
    <r>
      <rPr>
        <b/>
        <sz val="9"/>
        <rFont val="Arial"/>
        <family val="2"/>
      </rPr>
      <t>Not Stated</t>
    </r>
  </si>
  <si>
    <r>
      <rPr>
        <b/>
        <sz val="11"/>
        <rFont val="Arial"/>
        <family val="2"/>
      </rPr>
      <t>غير مبين</t>
    </r>
    <r>
      <rPr>
        <b/>
        <sz val="10"/>
        <rFont val="Arial"/>
        <family val="2"/>
      </rPr>
      <t xml:space="preserve">
</t>
    </r>
    <r>
      <rPr>
        <b/>
        <sz val="9"/>
        <rFont val="Arial"/>
        <family val="2"/>
      </rPr>
      <t>Not Stated</t>
    </r>
  </si>
  <si>
    <r>
      <rPr>
        <b/>
        <sz val="11"/>
        <rFont val="Arial"/>
        <family val="2"/>
      </rPr>
      <t>المجموع</t>
    </r>
    <r>
      <rPr>
        <b/>
        <sz val="10"/>
        <rFont val="Arial"/>
        <family val="2"/>
      </rPr>
      <t xml:space="preserve">
</t>
    </r>
    <r>
      <rPr>
        <b/>
        <sz val="9"/>
        <rFont val="Arial"/>
        <family val="2"/>
      </rPr>
      <t>Total</t>
    </r>
  </si>
  <si>
    <r>
      <t xml:space="preserve">النسبة </t>
    </r>
    <r>
      <rPr>
        <b/>
        <sz val="10"/>
        <rFont val="Arial"/>
        <family val="2"/>
      </rPr>
      <t xml:space="preserve">
</t>
    </r>
    <r>
      <rPr>
        <b/>
        <sz val="9"/>
        <rFont val="Arial"/>
        <family val="2"/>
      </rPr>
      <t>Percentage</t>
    </r>
  </si>
  <si>
    <r>
      <t xml:space="preserve">إشهادات الطلاق 
</t>
    </r>
    <r>
      <rPr>
        <b/>
        <sz val="9"/>
        <rFont val="Arial"/>
        <family val="2"/>
      </rPr>
      <t>Divorces</t>
    </r>
  </si>
  <si>
    <r>
      <t xml:space="preserve">معدل الطلاق العام
</t>
    </r>
    <r>
      <rPr>
        <b/>
        <sz val="9"/>
        <rFont val="Arial"/>
        <family val="2"/>
      </rPr>
      <t xml:space="preserve">General Dirovces Rates </t>
    </r>
  </si>
  <si>
    <r>
      <t xml:space="preserve">النسبة المئوية لفئة عمر الزوج
</t>
    </r>
    <r>
      <rPr>
        <b/>
        <sz val="9"/>
        <rFont val="Arial"/>
        <family val="2"/>
      </rPr>
      <t xml:space="preserve">Percentage of Husband </t>
    </r>
  </si>
  <si>
    <r>
      <t xml:space="preserve">النسبة المئوية لفئة عمر الزوج
</t>
    </r>
    <r>
      <rPr>
        <b/>
        <sz val="9"/>
        <rFont val="Arial"/>
        <family val="2"/>
      </rPr>
      <t>Percentage of Husband</t>
    </r>
    <r>
      <rPr>
        <sz val="8"/>
        <rFont val="Arial"/>
        <family val="2"/>
        <charset val="178"/>
      </rPr>
      <t xml:space="preserve"> </t>
    </r>
  </si>
  <si>
    <r>
      <t xml:space="preserve">النسبة المئوية لفئة عمر الزوجة
</t>
    </r>
    <r>
      <rPr>
        <b/>
        <sz val="9"/>
        <rFont val="Arial"/>
        <family val="2"/>
      </rPr>
      <t>Percentage of Wife</t>
    </r>
    <r>
      <rPr>
        <sz val="8"/>
        <rFont val="Arial"/>
        <family val="2"/>
        <charset val="178"/>
      </rPr>
      <t xml:space="preserve"> </t>
    </r>
  </si>
  <si>
    <r>
      <t xml:space="preserve">النسبة المئوية لفئة عمر الزوجة
</t>
    </r>
    <r>
      <rPr>
        <b/>
        <sz val="9"/>
        <rFont val="Arial"/>
        <family val="2"/>
      </rPr>
      <t>Percentage of Wif</t>
    </r>
    <r>
      <rPr>
        <sz val="8"/>
        <rFont val="Arial"/>
        <family val="2"/>
        <charset val="178"/>
      </rPr>
      <t xml:space="preserve"> </t>
    </r>
  </si>
  <si>
    <r>
      <t xml:space="preserve">النسبة المئوية
</t>
    </r>
    <r>
      <rPr>
        <b/>
        <sz val="9"/>
        <rFont val="Arial"/>
        <family val="2"/>
      </rPr>
      <t>Percentage</t>
    </r>
    <r>
      <rPr>
        <sz val="8"/>
        <rFont val="Arial"/>
        <family val="2"/>
        <charset val="178"/>
      </rPr>
      <t xml:space="preserve"> </t>
    </r>
  </si>
  <si>
    <r>
      <t>النسبة لمدة الحياة الزواجية</t>
    </r>
    <r>
      <rPr>
        <sz val="8"/>
        <rFont val="Arial"/>
        <family val="2"/>
        <charset val="178"/>
      </rPr>
      <t xml:space="preserve">
</t>
    </r>
    <r>
      <rPr>
        <b/>
        <sz val="9"/>
        <rFont val="Arial"/>
        <family val="2"/>
      </rPr>
      <t xml:space="preserve">Percentage of duration of marriage </t>
    </r>
  </si>
  <si>
    <r>
      <t>النسبة لمدة الحياة الزواجية</t>
    </r>
    <r>
      <rPr>
        <sz val="8"/>
        <rFont val="Arial"/>
        <family val="2"/>
        <charset val="178"/>
      </rPr>
      <t xml:space="preserve">
</t>
    </r>
    <r>
      <rPr>
        <b/>
        <sz val="9"/>
        <rFont val="Arial"/>
        <family val="2"/>
      </rPr>
      <t>Percentage of duration of marriage</t>
    </r>
  </si>
  <si>
    <r>
      <t>بينونة صغرى</t>
    </r>
    <r>
      <rPr>
        <b/>
        <sz val="10"/>
        <rFont val="Arial"/>
        <family val="2"/>
      </rPr>
      <t xml:space="preserve">
</t>
    </r>
    <r>
      <rPr>
        <b/>
        <sz val="9"/>
        <rFont val="Arial"/>
        <family val="2"/>
      </rPr>
      <t xml:space="preserve">Minor irrevocable divorce </t>
    </r>
  </si>
  <si>
    <r>
      <t xml:space="preserve">رجعي
</t>
    </r>
    <r>
      <rPr>
        <b/>
        <sz val="9"/>
        <rFont val="Arial"/>
        <family val="2"/>
      </rPr>
      <t xml:space="preserve">Revocable divorce </t>
    </r>
  </si>
  <si>
    <r>
      <t xml:space="preserve">خلع
</t>
    </r>
    <r>
      <rPr>
        <b/>
        <sz val="9"/>
        <rFont val="Arial"/>
        <family val="2"/>
      </rPr>
      <t>Divorce against compensation</t>
    </r>
  </si>
  <si>
    <r>
      <t>بينونة كبرى</t>
    </r>
    <r>
      <rPr>
        <b/>
        <sz val="10"/>
        <rFont val="Arial"/>
        <family val="2"/>
      </rPr>
      <t xml:space="preserve">
</t>
    </r>
    <r>
      <rPr>
        <b/>
        <sz val="9"/>
        <rFont val="Arial"/>
        <family val="2"/>
      </rPr>
      <t xml:space="preserve">Major  irrevocable divorce </t>
    </r>
  </si>
  <si>
    <r>
      <t xml:space="preserve"> الزوج قطري والزوجة قطرية
</t>
    </r>
    <r>
      <rPr>
        <b/>
        <sz val="9"/>
        <rFont val="Arial"/>
        <family val="2"/>
      </rPr>
      <t>Qatari Husband &amp; Qatari Wife</t>
    </r>
  </si>
  <si>
    <r>
      <t xml:space="preserve"> الزوج قطري والزوجة غير قطرية
</t>
    </r>
    <r>
      <rPr>
        <b/>
        <sz val="9"/>
        <rFont val="Arial"/>
        <family val="2"/>
      </rPr>
      <t>Qatari Husband &amp; Non-Qatari Wife</t>
    </r>
  </si>
  <si>
    <r>
      <t xml:space="preserve"> الزوج غير قطري والزوجة قطرية
</t>
    </r>
    <r>
      <rPr>
        <b/>
        <sz val="9"/>
        <rFont val="Arial"/>
        <family val="2"/>
      </rPr>
      <t>Non-Qatari Husband &amp; Qatari Wife</t>
    </r>
  </si>
  <si>
    <r>
      <t xml:space="preserve"> الزوج غير قطري والزوجة غير قطرية
</t>
    </r>
    <r>
      <rPr>
        <b/>
        <sz val="9"/>
        <rFont val="Arial"/>
        <family val="2"/>
      </rPr>
      <t>Non-Qatari Husband &amp; Non-Qatari Wife</t>
    </r>
  </si>
  <si>
    <r>
      <rPr>
        <b/>
        <sz val="10"/>
        <rFont val="Arial"/>
        <family val="2"/>
      </rPr>
      <t>الزوج</t>
    </r>
    <r>
      <rPr>
        <b/>
        <sz val="12"/>
        <rFont val="Arial"/>
        <family val="2"/>
      </rPr>
      <t xml:space="preserve">
</t>
    </r>
    <r>
      <rPr>
        <b/>
        <sz val="9"/>
        <rFont val="Arial"/>
        <family val="2"/>
      </rPr>
      <t>Husband</t>
    </r>
  </si>
  <si>
    <r>
      <rPr>
        <b/>
        <sz val="10"/>
        <rFont val="Arial"/>
        <family val="2"/>
      </rPr>
      <t>الزوجة</t>
    </r>
    <r>
      <rPr>
        <b/>
        <sz val="12"/>
        <rFont val="Arial"/>
        <family val="2"/>
      </rPr>
      <t xml:space="preserve">
</t>
    </r>
    <r>
      <rPr>
        <b/>
        <sz val="9"/>
        <rFont val="Arial"/>
        <family val="2"/>
      </rPr>
      <t>Wife</t>
    </r>
  </si>
  <si>
    <r>
      <rPr>
        <b/>
        <sz val="10"/>
        <rFont val="Arial"/>
        <family val="2"/>
      </rPr>
      <t>غير مبين</t>
    </r>
    <r>
      <rPr>
        <b/>
        <sz val="12"/>
        <rFont val="Arial"/>
        <family val="2"/>
      </rPr>
      <t xml:space="preserve">
</t>
    </r>
    <r>
      <rPr>
        <b/>
        <sz val="9"/>
        <rFont val="Arial"/>
        <family val="2"/>
      </rPr>
      <t>Not Stated</t>
    </r>
  </si>
  <si>
    <r>
      <t xml:space="preserve"> المجموع
</t>
    </r>
    <r>
      <rPr>
        <b/>
        <sz val="10"/>
        <rFont val="Arial"/>
        <family val="2"/>
      </rPr>
      <t>Total</t>
    </r>
  </si>
  <si>
    <r>
      <t xml:space="preserve">المجموع العام
</t>
    </r>
    <r>
      <rPr>
        <b/>
        <sz val="10"/>
        <rFont val="Arial"/>
        <family val="2"/>
      </rPr>
      <t>G.Total</t>
    </r>
  </si>
  <si>
    <r>
      <t>بينونة صغرى</t>
    </r>
    <r>
      <rPr>
        <sz val="10"/>
        <rFont val="Arial"/>
        <family val="2"/>
        <charset val="178"/>
      </rPr>
      <t xml:space="preserve">
</t>
    </r>
    <r>
      <rPr>
        <b/>
        <sz val="9"/>
        <rFont val="Arial"/>
        <family val="2"/>
      </rPr>
      <t xml:space="preserve">Minor irrevocable divorce </t>
    </r>
  </si>
  <si>
    <r>
      <t>بينونة كبرى</t>
    </r>
    <r>
      <rPr>
        <sz val="10"/>
        <rFont val="Arial"/>
        <family val="2"/>
        <charset val="178"/>
      </rPr>
      <t xml:space="preserve">
</t>
    </r>
    <r>
      <rPr>
        <b/>
        <sz val="9"/>
        <rFont val="Arial"/>
        <family val="2"/>
      </rPr>
      <t xml:space="preserve">Major  irrevocable divorce </t>
    </r>
  </si>
  <si>
    <r>
      <t>بينونة كبرى</t>
    </r>
    <r>
      <rPr>
        <sz val="10"/>
        <rFont val="Arial"/>
        <family val="2"/>
        <charset val="178"/>
      </rPr>
      <t xml:space="preserve">
</t>
    </r>
    <r>
      <rPr>
        <b/>
        <sz val="9"/>
        <rFont val="Arial"/>
        <family val="2"/>
      </rPr>
      <t xml:space="preserve">Major irrevocable divorce </t>
    </r>
  </si>
  <si>
    <r>
      <t>قبل الدخول</t>
    </r>
    <r>
      <rPr>
        <sz val="10"/>
        <rFont val="Arial"/>
        <family val="2"/>
      </rPr>
      <t xml:space="preserve">
</t>
    </r>
    <r>
      <rPr>
        <b/>
        <sz val="9"/>
        <rFont val="Arial"/>
        <family val="2"/>
      </rPr>
      <t>B.Cons.</t>
    </r>
  </si>
  <si>
    <r>
      <t>غير مبين</t>
    </r>
    <r>
      <rPr>
        <sz val="10"/>
        <rFont val="Arial"/>
        <family val="2"/>
      </rPr>
      <t xml:space="preserve">
</t>
    </r>
    <r>
      <rPr>
        <b/>
        <sz val="9"/>
        <rFont val="Arial"/>
        <family val="2"/>
      </rPr>
      <t>Not Stated</t>
    </r>
  </si>
  <si>
    <r>
      <t>غير مبين</t>
    </r>
    <r>
      <rPr>
        <sz val="9"/>
        <rFont val="Arial"/>
        <family val="2"/>
      </rPr>
      <t xml:space="preserve">
</t>
    </r>
    <r>
      <rPr>
        <b/>
        <sz val="9"/>
        <rFont val="Arial"/>
        <family val="2"/>
      </rPr>
      <t>Not Stated</t>
    </r>
  </si>
  <si>
    <r>
      <t xml:space="preserve">النسبة المئوية لجنسية الزوج
</t>
    </r>
    <r>
      <rPr>
        <b/>
        <sz val="9"/>
        <rFont val="Arial"/>
        <family val="2"/>
      </rPr>
      <t>Percentage of Husband</t>
    </r>
    <r>
      <rPr>
        <sz val="8"/>
        <rFont val="Arial"/>
        <family val="2"/>
        <charset val="178"/>
      </rPr>
      <t xml:space="preserve"> </t>
    </r>
  </si>
  <si>
    <r>
      <rPr>
        <b/>
        <sz val="11"/>
        <rFont val="Arial"/>
        <family val="2"/>
      </rPr>
      <t>تقرأ وتكتب</t>
    </r>
    <r>
      <rPr>
        <b/>
        <sz val="12"/>
        <rFont val="Arial"/>
        <family val="2"/>
      </rPr>
      <t xml:space="preserve">
</t>
    </r>
    <r>
      <rPr>
        <b/>
        <sz val="9"/>
        <rFont val="Arial"/>
        <family val="2"/>
      </rPr>
      <t>Read and Write</t>
    </r>
  </si>
  <si>
    <r>
      <t xml:space="preserve">النسبة </t>
    </r>
    <r>
      <rPr>
        <sz val="10"/>
        <rFont val="Arial"/>
        <family val="2"/>
      </rPr>
      <t xml:space="preserve">
</t>
    </r>
    <r>
      <rPr>
        <b/>
        <sz val="9"/>
        <rFont val="Arial"/>
        <family val="2"/>
      </rPr>
      <t>Percentage</t>
    </r>
  </si>
  <si>
    <r>
      <t xml:space="preserve">النسبة </t>
    </r>
    <r>
      <rPr>
        <b/>
        <sz val="10"/>
        <rFont val="Arial"/>
        <family val="2"/>
      </rPr>
      <t xml:space="preserve">
</t>
    </r>
    <r>
      <rPr>
        <b/>
        <sz val="9"/>
        <rFont val="Arial"/>
        <family val="2"/>
      </rPr>
      <t>Percentage</t>
    </r>
    <r>
      <rPr>
        <sz val="10"/>
        <rFont val="Arial"/>
        <family val="2"/>
      </rPr>
      <t xml:space="preserve"> </t>
    </r>
  </si>
  <si>
    <r>
      <t xml:space="preserve"> المجموع
</t>
    </r>
    <r>
      <rPr>
        <b/>
        <sz val="9"/>
        <rFont val="Arial"/>
        <family val="2"/>
      </rPr>
      <t>Total</t>
    </r>
  </si>
  <si>
    <r>
      <rPr>
        <b/>
        <sz val="11"/>
        <rFont val="Arial"/>
        <family val="2"/>
      </rPr>
      <t>عدد الأبناء</t>
    </r>
    <r>
      <rPr>
        <b/>
        <sz val="12"/>
        <rFont val="Arial"/>
        <family val="2"/>
      </rPr>
      <t xml:space="preserve">
</t>
    </r>
    <r>
      <rPr>
        <b/>
        <sz val="9"/>
        <rFont val="Arial"/>
        <family val="2"/>
      </rPr>
      <t>No. of sons</t>
    </r>
  </si>
  <si>
    <r>
      <rPr>
        <b/>
        <sz val="11"/>
        <rFont val="Arial"/>
        <family val="2"/>
      </rPr>
      <t>عدد الحالات</t>
    </r>
    <r>
      <rPr>
        <b/>
        <sz val="12"/>
        <rFont val="Arial"/>
        <family val="2"/>
      </rPr>
      <t xml:space="preserve">
</t>
    </r>
    <r>
      <rPr>
        <b/>
        <sz val="9"/>
        <rFont val="Arial"/>
        <family val="2"/>
      </rPr>
      <t>No. of cases</t>
    </r>
  </si>
  <si>
    <t>إشهادات الطلاق حسب الجنسية ومكان إقامة الزوجة والزوج</t>
  </si>
  <si>
    <t>عقود الزواج حسب الجنسية ومكان إقامة الزوجة والزوج</t>
  </si>
  <si>
    <t>MARRIAGES BY NATIONALITY, PLACE OF WIFE AND HUSBAND'S RESIDENCE</t>
  </si>
  <si>
    <t>DIVORCES BY NATIONALITY,  PLACE OF WIFE AND HUSBAND'S RESIDENCE</t>
  </si>
  <si>
    <t>جدول رقم (22)</t>
  </si>
  <si>
    <t>Table No. (22)</t>
  </si>
  <si>
    <t>قطرية</t>
  </si>
  <si>
    <t>غير قطرية</t>
  </si>
  <si>
    <t>الدوحة
Doha</t>
  </si>
  <si>
    <t>الريان
Al Rayyan</t>
  </si>
  <si>
    <t>الوكرة
Al Wakra</t>
  </si>
  <si>
    <t>الخور
Al Khor</t>
  </si>
  <si>
    <t>الشمال
Al Shamal</t>
  </si>
  <si>
    <t xml:space="preserve"> الظعاين
Al Daayen</t>
  </si>
  <si>
    <t>الشحانية
Al Shahannia</t>
  </si>
  <si>
    <t>خارج قطر
Outside Qatar</t>
  </si>
  <si>
    <r>
      <t xml:space="preserve">Municipality
</t>
    </r>
    <r>
      <rPr>
        <sz val="10"/>
        <rFont val="Arial"/>
        <family val="2"/>
      </rPr>
      <t xml:space="preserve">Place of Husband  </t>
    </r>
  </si>
  <si>
    <r>
      <t>Municipality</t>
    </r>
    <r>
      <rPr>
        <sz val="11"/>
        <rFont val="Arial"/>
        <family val="2"/>
      </rPr>
      <t xml:space="preserve"> (Place of Wife)</t>
    </r>
  </si>
  <si>
    <t>MARRIAGES BY HUSBAND AGE GROUP AND HIS NATIONALITY</t>
  </si>
  <si>
    <t>عقود الزواج حسب عدد أبناء الزوج وجنسيتة وجنسية الزوجة</t>
  </si>
  <si>
    <t xml:space="preserve">عقود الزواج حسب عدد أبناء الزوجة وجنسيتها وجنسية الزوج </t>
  </si>
  <si>
    <t>GENERAL DIVORCES RATE BY NATIOANLITY &amp; GENDER PER 1000 POPULATION
(15 YEAR AND ABOVE)</t>
  </si>
  <si>
    <t>DIVORCES BY OCCUPATION OF WIFE AND HUSBAND</t>
  </si>
  <si>
    <t xml:space="preserve">DIVORCES BY OCCUPATION OF WIFE AND HUSBAND </t>
  </si>
  <si>
    <t>Number of Marriages</t>
  </si>
  <si>
    <t xml:space="preserve">Number of Divorces </t>
  </si>
  <si>
    <r>
      <t>بقية دول مجلس التعاون</t>
    </r>
    <r>
      <rPr>
        <b/>
        <sz val="9"/>
        <rFont val="Arial"/>
        <family val="2"/>
      </rPr>
      <t xml:space="preserve">
Other G.C.C Countries</t>
    </r>
  </si>
  <si>
    <r>
      <t>بقية الدول العربية</t>
    </r>
    <r>
      <rPr>
        <b/>
        <sz val="9"/>
        <rFont val="Arial"/>
        <family val="2"/>
      </rPr>
      <t xml:space="preserve">
Other Arab Countries</t>
    </r>
  </si>
  <si>
    <r>
      <t>دول أوروبية</t>
    </r>
    <r>
      <rPr>
        <b/>
        <sz val="9"/>
        <rFont val="Arial"/>
        <family val="2"/>
      </rPr>
      <t xml:space="preserve">
European  Countries</t>
    </r>
  </si>
  <si>
    <t>معدل الطلاق العام حسب الجنسية والجنس لكل ألف من السكان (15 سنة فأكثر)</t>
  </si>
  <si>
    <t>عدد حالات غير مبين لعدد الأبناء في حالة الزوج الحالي وهى (0)</t>
  </si>
  <si>
    <t xml:space="preserve">Number of children is not stated in the case of the current husband (0) cases  </t>
  </si>
  <si>
    <t>Number of children is not stated in the case of the previous husbands (0) cases</t>
  </si>
  <si>
    <t>(0) Numbe of children of Divorce cases Not stated</t>
  </si>
  <si>
    <t>إشهادات الطلاق
Divorces</t>
  </si>
  <si>
    <t>Qatar</t>
  </si>
  <si>
    <t>Legislators, Senior Officials And Managers</t>
  </si>
  <si>
    <t>Professionals</t>
  </si>
  <si>
    <t>Technicians And Associate Professionals</t>
  </si>
  <si>
    <t>Clerks</t>
  </si>
  <si>
    <t>Skilled Agricultural And Fishery Workers</t>
  </si>
  <si>
    <t>Craft And Related Trades Workers</t>
  </si>
  <si>
    <t>Plant And Machine Operators And Assemblers</t>
  </si>
  <si>
    <t>Elementary Occupations</t>
  </si>
  <si>
    <t>No Occup.
(1)</t>
  </si>
  <si>
    <r>
      <t xml:space="preserve">قطر
</t>
    </r>
    <r>
      <rPr>
        <b/>
        <sz val="9"/>
        <rFont val="Arial"/>
        <family val="2"/>
      </rPr>
      <t>Qatar</t>
    </r>
  </si>
  <si>
    <r>
      <rPr>
        <b/>
        <sz val="12"/>
        <rFont val="Arial"/>
        <family val="2"/>
      </rPr>
      <t>قطريات</t>
    </r>
    <r>
      <rPr>
        <b/>
        <sz val="10"/>
        <rFont val="Arial"/>
        <family val="2"/>
      </rPr>
      <t xml:space="preserve">
Qataris</t>
    </r>
  </si>
  <si>
    <r>
      <rPr>
        <b/>
        <sz val="12"/>
        <rFont val="Arial"/>
        <family val="2"/>
      </rPr>
      <t>غير قطريات</t>
    </r>
    <r>
      <rPr>
        <b/>
        <sz val="10"/>
        <rFont val="Arial"/>
        <family val="2"/>
      </rPr>
      <t xml:space="preserve">
Non-Qataris</t>
    </r>
  </si>
  <si>
    <r>
      <rPr>
        <b/>
        <sz val="12"/>
        <rFont val="Arial"/>
        <family val="2"/>
      </rPr>
      <t>المجموع</t>
    </r>
    <r>
      <rPr>
        <b/>
        <sz val="10"/>
        <rFont val="Arial"/>
        <family val="2"/>
      </rPr>
      <t xml:space="preserve">
Total</t>
    </r>
  </si>
  <si>
    <r>
      <t xml:space="preserve">فبراير 
</t>
    </r>
    <r>
      <rPr>
        <sz val="6"/>
        <rFont val="Arial"/>
        <family val="2"/>
      </rPr>
      <t>Feb</t>
    </r>
  </si>
  <si>
    <r>
      <t xml:space="preserve"> يناير
</t>
    </r>
    <r>
      <rPr>
        <sz val="6"/>
        <rFont val="Arial"/>
        <family val="2"/>
      </rPr>
      <t>Jan</t>
    </r>
  </si>
  <si>
    <r>
      <t xml:space="preserve">مارس 
</t>
    </r>
    <r>
      <rPr>
        <sz val="6"/>
        <rFont val="Arial"/>
        <family val="2"/>
      </rPr>
      <t>Mar</t>
    </r>
  </si>
  <si>
    <r>
      <t xml:space="preserve"> ابريل
</t>
    </r>
    <r>
      <rPr>
        <sz val="6"/>
        <rFont val="Arial"/>
        <family val="2"/>
      </rPr>
      <t>Apr</t>
    </r>
  </si>
  <si>
    <r>
      <t xml:space="preserve">مايو
</t>
    </r>
    <r>
      <rPr>
        <sz val="6"/>
        <rFont val="Arial"/>
        <family val="2"/>
      </rPr>
      <t>May</t>
    </r>
  </si>
  <si>
    <r>
      <t xml:space="preserve">يونيو
</t>
    </r>
    <r>
      <rPr>
        <sz val="6"/>
        <rFont val="Arial"/>
        <family val="2"/>
      </rPr>
      <t>Jun</t>
    </r>
  </si>
  <si>
    <r>
      <t xml:space="preserve">يوليو
</t>
    </r>
    <r>
      <rPr>
        <sz val="6"/>
        <rFont val="Arial"/>
        <family val="2"/>
      </rPr>
      <t>Jul</t>
    </r>
  </si>
  <si>
    <r>
      <t xml:space="preserve">اغسطس
</t>
    </r>
    <r>
      <rPr>
        <sz val="6"/>
        <rFont val="Arial"/>
        <family val="2"/>
      </rPr>
      <t>Aug</t>
    </r>
  </si>
  <si>
    <r>
      <t xml:space="preserve">سبتمبر
</t>
    </r>
    <r>
      <rPr>
        <sz val="6"/>
        <rFont val="Arial"/>
        <family val="2"/>
      </rPr>
      <t>Sep</t>
    </r>
  </si>
  <si>
    <r>
      <t xml:space="preserve">اكتوبر
 </t>
    </r>
    <r>
      <rPr>
        <sz val="6"/>
        <rFont val="Arial"/>
        <family val="2"/>
      </rPr>
      <t>Oct</t>
    </r>
  </si>
  <si>
    <r>
      <t xml:space="preserve">نوفمبر
</t>
    </r>
    <r>
      <rPr>
        <sz val="6"/>
        <rFont val="Arial"/>
        <family val="2"/>
      </rPr>
      <t>Nov</t>
    </r>
  </si>
  <si>
    <r>
      <t xml:space="preserve">ديسمبر
</t>
    </r>
    <r>
      <rPr>
        <sz val="6"/>
        <rFont val="Arial"/>
        <family val="2"/>
      </rPr>
      <t>Dec</t>
    </r>
  </si>
  <si>
    <t>أخرى
Other</t>
  </si>
  <si>
    <t>دول آسيوية</t>
  </si>
  <si>
    <t>دول أخرى</t>
  </si>
  <si>
    <r>
      <t>دول آسيوية</t>
    </r>
    <r>
      <rPr>
        <b/>
        <sz val="9"/>
        <rFont val="Arial"/>
        <family val="2"/>
      </rPr>
      <t xml:space="preserve">
Asian Countries</t>
    </r>
  </si>
  <si>
    <r>
      <t>دول أخرى</t>
    </r>
    <r>
      <rPr>
        <b/>
        <sz val="9"/>
        <rFont val="Arial"/>
        <family val="2"/>
      </rPr>
      <t xml:space="preserve">
Other Countries</t>
    </r>
  </si>
  <si>
    <r>
      <t>تقرأ وتكتب</t>
    </r>
    <r>
      <rPr>
        <b/>
        <sz val="12"/>
        <rFont val="Arial"/>
        <family val="2"/>
      </rPr>
      <t xml:space="preserve">
</t>
    </r>
    <r>
      <rPr>
        <b/>
        <sz val="9"/>
        <rFont val="Arial"/>
        <family val="2"/>
      </rPr>
      <t>Read and Write</t>
    </r>
  </si>
  <si>
    <t>المشرعون وموظفو الإدارة العليا والمديرون</t>
  </si>
  <si>
    <t>العاملون في الحرف وما إليها من المهن</t>
  </si>
  <si>
    <t>مشغلو الآلات والمعدات ومجمعوها</t>
  </si>
  <si>
    <t>المشرعون وموظفو الإدارة العليا والمديرون
Legislators, Senior Officials And Managers</t>
  </si>
  <si>
    <t>أم صلال</t>
  </si>
  <si>
    <t>دول آسيوية
Asian Countries</t>
  </si>
  <si>
    <t>ابتدائي</t>
  </si>
  <si>
    <r>
      <rPr>
        <b/>
        <sz val="11"/>
        <rFont val="Arial"/>
        <family val="2"/>
      </rPr>
      <t>ابتدائية</t>
    </r>
    <r>
      <rPr>
        <b/>
        <sz val="12"/>
        <rFont val="Arial"/>
        <family val="2"/>
      </rPr>
      <t xml:space="preserve">
</t>
    </r>
    <r>
      <rPr>
        <b/>
        <sz val="9"/>
        <rFont val="Arial"/>
        <family val="2"/>
      </rPr>
      <t>Primary</t>
    </r>
  </si>
  <si>
    <r>
      <t>ابتدائية</t>
    </r>
    <r>
      <rPr>
        <b/>
        <sz val="12"/>
        <rFont val="Arial"/>
        <family val="2"/>
      </rPr>
      <t xml:space="preserve">
</t>
    </r>
    <r>
      <rPr>
        <b/>
        <sz val="9"/>
        <rFont val="Arial"/>
        <family val="2"/>
      </rPr>
      <t>Primary</t>
    </r>
  </si>
  <si>
    <t>دول اسيوية</t>
  </si>
  <si>
    <t>دول اوروبية</t>
  </si>
  <si>
    <t>المشرعون وموظفو الادارة العليا والمديرون</t>
  </si>
  <si>
    <t>العاملون في الحرف وما اليها من المهن</t>
  </si>
  <si>
    <t>مشغلو الالات والمعدات ومجمعوها</t>
  </si>
  <si>
    <t>Planning &amp; Statistics Authority, President</t>
  </si>
  <si>
    <t>رئيس جهاز التخطيط والإحصاء</t>
  </si>
  <si>
    <t>Dr. Saleh bin Mohamed Al-Nabit</t>
  </si>
  <si>
    <t>د. صالح بن محمد النابت</t>
  </si>
  <si>
    <t xml:space="preserve">     Through vital statistics (births and deaths - marriages and divorces) indicators on population growth rate and trend can be derived, as well as demographic behaviour of the society. These indicators can be used as indicatives for achieving short-term and long-term objectives as well as improving social and economic situations of the society.</t>
  </si>
  <si>
    <t xml:space="preserve">     من خلال الإحصاءات الحيوية (مواليد ووفيات - زواج وطلاق) يمكن التوصل إلى مؤشرات عن  اتجاه النمو السكاني ومعدله كما يمكن التعرف على السلوك الديموغرافي للمجتمع بشكل عام. وتستخدم المؤشرات التي توفرها الإحصاءات الحيوية كمعالم لبلوغ الأهداف القريبة والبعيدة المدى ولتحسين الأوضاع الاجتماعية والاقتصادية لأفراد المجتمع كافة.</t>
  </si>
  <si>
    <t xml:space="preserve">      Vital Statistics is considered as one of the main pillars of population statistics. It can be obtained from vital registrations systems or from population surveys and censuses.</t>
  </si>
  <si>
    <t xml:space="preserve">      تعتبر الإحصاءات الحيوية أحد الأركان الأساسية للإحصاءات السكانية التي يمكن الحصول عليها من أنظمة السجلات الحيوية أو من المسوحات والتعدادات السكانية .</t>
  </si>
  <si>
    <t>Preface</t>
  </si>
  <si>
    <t>تقديم</t>
  </si>
  <si>
    <t>2. Divorce Certificates Data</t>
  </si>
  <si>
    <t>--</t>
  </si>
  <si>
    <t>2 - بيانات إشهادات الطلاق</t>
  </si>
  <si>
    <t>1. Marriage Contracts Data</t>
  </si>
  <si>
    <t>1 - بيانات عقود الزواج</t>
  </si>
  <si>
    <t>Appendixes:</t>
  </si>
  <si>
    <t>ملاحــــــق:</t>
  </si>
  <si>
    <t>47</t>
  </si>
  <si>
    <t>46</t>
  </si>
  <si>
    <t>45</t>
  </si>
  <si>
    <t>44</t>
  </si>
  <si>
    <t>43-3</t>
  </si>
  <si>
    <t>43-2</t>
  </si>
  <si>
    <t>43-1</t>
  </si>
  <si>
    <t>42-3</t>
  </si>
  <si>
    <t>42-2</t>
  </si>
  <si>
    <t>42-1</t>
  </si>
  <si>
    <t>41-3</t>
  </si>
  <si>
    <t>41-2</t>
  </si>
  <si>
    <t>41-1</t>
  </si>
  <si>
    <t>40-3</t>
  </si>
  <si>
    <t>40-2</t>
  </si>
  <si>
    <t>40-1</t>
  </si>
  <si>
    <t>39-3</t>
  </si>
  <si>
    <t>39-2</t>
  </si>
  <si>
    <t>39-1</t>
  </si>
  <si>
    <t>38-3</t>
  </si>
  <si>
    <t>38-2</t>
  </si>
  <si>
    <t>38-1</t>
  </si>
  <si>
    <t>37</t>
  </si>
  <si>
    <t>36</t>
  </si>
  <si>
    <t>35</t>
  </si>
  <si>
    <t>34</t>
  </si>
  <si>
    <t>33-3</t>
  </si>
  <si>
    <t>33-2</t>
  </si>
  <si>
    <t>33-1</t>
  </si>
  <si>
    <t>32-3</t>
  </si>
  <si>
    <t>32-2</t>
  </si>
  <si>
    <t>32-1</t>
  </si>
  <si>
    <t>31-3</t>
  </si>
  <si>
    <t>31-2</t>
  </si>
  <si>
    <t>31-1</t>
  </si>
  <si>
    <t>30-3</t>
  </si>
  <si>
    <t>30-2</t>
  </si>
  <si>
    <t>30-1</t>
  </si>
  <si>
    <t>29</t>
  </si>
  <si>
    <t>28-3</t>
  </si>
  <si>
    <t>28-2</t>
  </si>
  <si>
    <t>28-1</t>
  </si>
  <si>
    <t>27</t>
  </si>
  <si>
    <t>26-3</t>
  </si>
  <si>
    <t>26-2</t>
  </si>
  <si>
    <t>26-1</t>
  </si>
  <si>
    <t>25-3</t>
  </si>
  <si>
    <t>25-2</t>
  </si>
  <si>
    <t>25-1</t>
  </si>
  <si>
    <t>24</t>
  </si>
  <si>
    <t>23</t>
  </si>
  <si>
    <t>22</t>
  </si>
  <si>
    <t>21</t>
  </si>
  <si>
    <t>Second section: Divorces</t>
  </si>
  <si>
    <t xml:space="preserve">الباب الثاني : الطــــــلاق </t>
  </si>
  <si>
    <t>20</t>
  </si>
  <si>
    <t>19</t>
  </si>
  <si>
    <t>18-3</t>
  </si>
  <si>
    <t>18-2</t>
  </si>
  <si>
    <t>18-1</t>
  </si>
  <si>
    <t>17-3</t>
  </si>
  <si>
    <t>17-2</t>
  </si>
  <si>
    <t>17-1</t>
  </si>
  <si>
    <t>16-3</t>
  </si>
  <si>
    <t>16-2</t>
  </si>
  <si>
    <t>16-1</t>
  </si>
  <si>
    <t>15-3</t>
  </si>
  <si>
    <t>15-2</t>
  </si>
  <si>
    <t>15-1</t>
  </si>
  <si>
    <t>14-3</t>
  </si>
  <si>
    <t>14-2</t>
  </si>
  <si>
    <t>14-1</t>
  </si>
  <si>
    <t>13-3</t>
  </si>
  <si>
    <t>13-2</t>
  </si>
  <si>
    <t>13-1</t>
  </si>
  <si>
    <t>12-3</t>
  </si>
  <si>
    <t>12-2</t>
  </si>
  <si>
    <t>12-1</t>
  </si>
  <si>
    <t>11-3</t>
  </si>
  <si>
    <t>11-2</t>
  </si>
  <si>
    <t>11-1</t>
  </si>
  <si>
    <t>10</t>
  </si>
  <si>
    <t>9</t>
  </si>
  <si>
    <t>8</t>
  </si>
  <si>
    <t>7</t>
  </si>
  <si>
    <t>6</t>
  </si>
  <si>
    <t>First section: Marriages</t>
  </si>
  <si>
    <t>الباب الأول : الزواج</t>
  </si>
  <si>
    <t>Indicators &amp; vital rates</t>
  </si>
  <si>
    <t>المؤشرات والمعدلات الحيوية</t>
  </si>
  <si>
    <t>Definitions</t>
  </si>
  <si>
    <t>تعاريف</t>
  </si>
  <si>
    <t>Introduction</t>
  </si>
  <si>
    <t>مقدمة</t>
  </si>
  <si>
    <t>Contents</t>
  </si>
  <si>
    <t>المحتويات</t>
  </si>
  <si>
    <t xml:space="preserve">تقديم </t>
  </si>
  <si>
    <t>Tables</t>
  </si>
  <si>
    <r>
      <t xml:space="preserve">رقم الصفحة
</t>
    </r>
    <r>
      <rPr>
        <b/>
        <sz val="8"/>
        <rFont val="Arial"/>
        <family val="2"/>
      </rPr>
      <t>Page No.</t>
    </r>
  </si>
  <si>
    <r>
      <t xml:space="preserve">رقم الجدول
</t>
    </r>
    <r>
      <rPr>
        <b/>
        <sz val="8"/>
        <rFont val="Arial"/>
        <family val="2"/>
      </rPr>
      <t>Table No.</t>
    </r>
  </si>
  <si>
    <t>الجداول</t>
  </si>
  <si>
    <t>Graph</t>
  </si>
  <si>
    <r>
      <t xml:space="preserve">رقم الشكل
</t>
    </r>
    <r>
      <rPr>
        <b/>
        <sz val="8"/>
        <rFont val="Arial"/>
        <family val="2"/>
      </rPr>
      <t>Graph No.</t>
    </r>
  </si>
  <si>
    <t>الشكل</t>
  </si>
  <si>
    <t xml:space="preserve">     The data cover cases of  Muslims' marriages and divorces that registered in the State of Qatar.</t>
  </si>
  <si>
    <t>مُقدمة</t>
  </si>
  <si>
    <r>
      <t>Means place of husband &amp; wife resident</t>
    </r>
    <r>
      <rPr>
        <b/>
        <sz val="11"/>
        <rFont val="Arial"/>
        <family val="2"/>
      </rPr>
      <t>.</t>
    </r>
  </si>
  <si>
    <t xml:space="preserve"> المقصود بالبلدية هو مكان إقامة الزوج والزوجة.</t>
  </si>
  <si>
    <t>4 - Municipality</t>
  </si>
  <si>
    <r>
      <t>4 -</t>
    </r>
    <r>
      <rPr>
        <b/>
        <sz val="14"/>
        <rFont val="Arabic Transparent"/>
        <charset val="178"/>
      </rPr>
      <t xml:space="preserve"> البلدية</t>
    </r>
  </si>
  <si>
    <t xml:space="preserve">Non-registered are the married and divorced people who were recorded in the registers of the Judiciary Supreme Council after the publication of the Annual Bulletin of Marriage and Divorce for the same year. </t>
  </si>
  <si>
    <t xml:space="preserve"> فاقدو القيد هم المتزوجون والمطلقون الذين تم قيدهم في سجلات المجلس الاعلى للقضاء  في تاريخ لاحق وبعد صدور النشرة السنوية للزواج والطلاق  لنفس العام.</t>
  </si>
  <si>
    <t>3 - Non-registered</t>
  </si>
  <si>
    <r>
      <t>3 -</t>
    </r>
    <r>
      <rPr>
        <b/>
        <sz val="14"/>
        <rFont val="Arabic Transparent"/>
        <charset val="178"/>
      </rPr>
      <t xml:space="preserve"> فاقدو القيد</t>
    </r>
  </si>
  <si>
    <t>4.</t>
  </si>
  <si>
    <r>
      <t>GREATER BA'AN</t>
    </r>
    <r>
      <rPr>
        <sz val="11"/>
        <rFont val="Arial"/>
        <family val="2"/>
      </rPr>
      <t xml:space="preserve"> : It is a "complex divorce" for a third time and preceeded by two divorces. The divorcer can not remarry his divorcee unless she properly and legally married to another man and then divorced legally from him.</t>
    </r>
  </si>
  <si>
    <t>بينونة كبرى: وهو الطلاق المكمل للثلاث أي المسبوق بطلاقين ولا يحق للمطلق إعادة مطلقته إلا بعد زواجها من شخص آخر زواجاً شرعياً صحيحاً ثم الطلاق منه .</t>
  </si>
  <si>
    <t>3.</t>
  </si>
  <si>
    <r>
      <t>KHULAA</t>
    </r>
    <r>
      <rPr>
        <sz val="11"/>
        <rFont val="Arial"/>
        <family val="2"/>
      </rPr>
      <t xml:space="preserve"> : Termination of the marriage contract by mutual consent of the couple, with the wording of "Khulaa", against a lump sum paid by the wife, and considered annulment. The woman is not required to be in purity state</t>
    </r>
  </si>
  <si>
    <t>الخلع: وهو حلّ عقد الزواج بتراضي الزوجين بلفظ الخلع، أو ما في معناه على بدل تبذله الزوجة، ولا يشترط أن يكون في حالة طهر المرأة، ويكون فسخاً.</t>
  </si>
  <si>
    <t>2.</t>
  </si>
  <si>
    <r>
      <t>RAJEE</t>
    </r>
    <r>
      <rPr>
        <sz val="11"/>
        <rFont val="Arial"/>
        <family val="2"/>
      </rPr>
      <t xml:space="preserve"> : It is a "Revocable Divorce" for the first or second time which can be imposed upon a wife who has been sexually communicated with.</t>
    </r>
  </si>
  <si>
    <t>طلاق رجعي: وهو الطلاق الذى يقع على الزوجة المدخول بها وغير مكمل للثلاث.</t>
  </si>
  <si>
    <t>1.</t>
  </si>
  <si>
    <r>
      <t xml:space="preserve">Smaller BA'AN </t>
    </r>
    <r>
      <rPr>
        <sz val="11"/>
        <rFont val="Arial"/>
        <family val="2"/>
      </rPr>
      <t>: It is a "simple divorce' imposed upon a wife for the first time or second time after complete the period of (Elida) and also wife who has not yet been sexually communicated with.</t>
    </r>
  </si>
  <si>
    <t>بينونة صغرى: وهــو أن يتم الطلاق الأول أو الثاني بعد إنتهاء العدة بالزوجة المدخول بها أو قبل الدخول بالزوجة .</t>
  </si>
  <si>
    <t>Is the final legal dissolution of marriage i.e. the seperation of husband and wife and confers on the parties the right to remarriage on special conditions. The types of divorce according to Islamic law is as follows:</t>
  </si>
  <si>
    <t xml:space="preserve"> وهو الصيغة التي ينتهي بموجبها عقد الزواج بطريقة  شـرعية  بين الطرفين  أي  الزوج    والزوجة الذين يحق لهما  إعادة الزواج تحت شروط معينة. وفقاً للشريعة الإسلامية هناك أربعة أنواع من الطلاق نوردها فيما يلي :</t>
  </si>
  <si>
    <t>2 - Divorce</t>
  </si>
  <si>
    <r>
      <t xml:space="preserve">2 - </t>
    </r>
    <r>
      <rPr>
        <b/>
        <sz val="14"/>
        <rFont val="Arabic Transparent"/>
        <charset val="178"/>
      </rPr>
      <t xml:space="preserve">الطلاق </t>
    </r>
  </si>
  <si>
    <r>
      <t>No relationship</t>
    </r>
    <r>
      <rPr>
        <sz val="11"/>
        <rFont val="Arial"/>
        <family val="2"/>
      </rPr>
      <t xml:space="preserve"> when there is no blood relation between husband and wife.</t>
    </r>
  </si>
  <si>
    <t>لا قرابة وتعني عدم وجود صله قرابه بين الزوج والزوجة .</t>
  </si>
  <si>
    <r>
      <t>Second class relationship</t>
    </r>
    <r>
      <rPr>
        <sz val="11"/>
        <rFont val="Arial"/>
        <family val="2"/>
      </rPr>
      <t xml:space="preserve"> for any marriage of relatives other than those in (1) e.g. marriage from tribe.</t>
    </r>
  </si>
  <si>
    <t>قرابة من الدرجة الثانية وتعني زواج من أقارب آخرين غير ما ذكر في (1) مثل أبناء القبيلة .</t>
  </si>
  <si>
    <r>
      <t>First class relationship</t>
    </r>
    <r>
      <rPr>
        <sz val="11"/>
        <rFont val="Arial"/>
        <family val="2"/>
      </rPr>
      <t xml:space="preserve"> for marriages of cousins.</t>
    </r>
  </si>
  <si>
    <t>قرابة من الدرجــــة الأولى ويعني زواج أبناء العم /العمة - الخال/ الخالة .</t>
  </si>
  <si>
    <t>Marriage was classified according to relation as follows:</t>
  </si>
  <si>
    <t>يصنف الزواج حسب درجة القرابة على النحو التالي :</t>
  </si>
  <si>
    <t>Is the legal union of opposite sex i.e. husband and wife. The legality of this union is recognized by islamic laws. Marriage is the foundation of family which forms its legal identity.</t>
  </si>
  <si>
    <t xml:space="preserve"> هو الارتباط الشرعي والقانوني بين الزوج والزوجة . وشرعية هذا الزواج تحكمه القوانين الإسلامية وهو الظاهرة التي تنشئ الأسرة وتهيء لها الوضع القانوني .</t>
  </si>
  <si>
    <t>1 - Marriage</t>
  </si>
  <si>
    <r>
      <t xml:space="preserve">1 - </t>
    </r>
    <r>
      <rPr>
        <b/>
        <sz val="14"/>
        <rFont val="Arabic Transparent"/>
        <charset val="178"/>
      </rPr>
      <t>الزواج</t>
    </r>
  </si>
  <si>
    <t xml:space="preserve">     This bulletin contains a number of terminologies. Underneath are brief definitions for each:</t>
  </si>
  <si>
    <t xml:space="preserve">    اشتملت هذه النشــرة على عدد من المصطلحات فيما يلي نعرض تعريفاً مختصراً لكل منها :  </t>
  </si>
  <si>
    <t>تعاريــف</t>
  </si>
  <si>
    <r>
      <t xml:space="preserve">P </t>
    </r>
    <r>
      <rPr>
        <sz val="8"/>
        <rFont val="Arial"/>
        <family val="2"/>
      </rPr>
      <t>15t</t>
    </r>
  </si>
  <si>
    <t xml:space="preserve"> CDR =   </t>
  </si>
  <si>
    <t>Div</t>
  </si>
  <si>
    <t>× 1000</t>
  </si>
  <si>
    <t>It is calculated as follows:</t>
  </si>
  <si>
    <t>ويحسب كما يلي:</t>
  </si>
  <si>
    <t xml:space="preserve"> This has the same numerator of the CDR, but the denominator here is restricted to the population 15 years and above.</t>
  </si>
  <si>
    <t>وهو يناظر معدل الطلاق الخام إلا أن المقام هنا يقتصر على السكان في الأعمار 15 سنة فأكثر</t>
  </si>
  <si>
    <t xml:space="preserve">2- General Divorce Rate (CDR) : </t>
  </si>
  <si>
    <t xml:space="preserve">2- معدل الطلاق العام : </t>
  </si>
  <si>
    <t>P</t>
  </si>
  <si>
    <t xml:space="preserve">It is calculated as follows: </t>
  </si>
  <si>
    <t>The number of divorces per 1000 mid-year population.</t>
  </si>
  <si>
    <t>هو عدد حالات الطلاق لكل ألف من السكان في منتصف العام</t>
  </si>
  <si>
    <t xml:space="preserve">1- Crude Divorce Rate (CDR) : </t>
  </si>
  <si>
    <t xml:space="preserve">1- معدل الطلاق الخام : </t>
  </si>
  <si>
    <t>Second: Divorce Rates</t>
  </si>
  <si>
    <t xml:space="preserve">ثانياً : معدلات الطلاق </t>
  </si>
  <si>
    <t>It is the weighted average of age taking number of those getting married as weights and multiplied by corresponding age. The summation of the results are divided by summation of weight.</t>
  </si>
  <si>
    <t>وهو المتوسط المرجح للأعمار مع حساب عدد المتقدمين للزواج كأوزان وتضرب الأعمار × الأوزان ويجمع حاصل الضرب ويقسم على مجموع الأوزان</t>
  </si>
  <si>
    <t>3- Average age at first marriage:</t>
  </si>
  <si>
    <t>3- متوسط العمر عند الزواج الأول :</t>
  </si>
  <si>
    <t xml:space="preserve"> GMR =   </t>
  </si>
  <si>
    <t>M</t>
  </si>
  <si>
    <t>It has the same numerator of the CMR, but the denominator here is restricted to the population aged 15 years and above.</t>
  </si>
  <si>
    <t>هو مناظر معدل الزواج الخام إلا أن المقام يقتصر على السكان في العمر 15 سنة فأكثر</t>
  </si>
  <si>
    <t xml:space="preserve">2- General Marriage Rate : </t>
  </si>
  <si>
    <t xml:space="preserve">2- معدل الزواج العام : </t>
  </si>
  <si>
    <r>
      <rPr>
        <b/>
        <sz val="10"/>
        <rFont val="Arial"/>
        <family val="2"/>
      </rPr>
      <t xml:space="preserve">P : </t>
    </r>
    <r>
      <rPr>
        <sz val="10"/>
        <rFont val="Arial"/>
        <family val="2"/>
      </rPr>
      <t>Population at mid-year</t>
    </r>
  </si>
  <si>
    <t xml:space="preserve">P : عدد السكان في منتصف العام </t>
  </si>
  <si>
    <r>
      <rPr>
        <b/>
        <sz val="10"/>
        <rFont val="Arial"/>
        <family val="2"/>
      </rPr>
      <t>M:</t>
    </r>
    <r>
      <rPr>
        <sz val="10"/>
        <rFont val="Arial"/>
        <family val="2"/>
      </rPr>
      <t xml:space="preserve"> Total number of marriages in a certain area in specific year</t>
    </r>
  </si>
  <si>
    <t>M : هو إجمالي عدد الزيجات في منطقة معينة خلال سنة معينة.</t>
  </si>
  <si>
    <t>Where :</t>
  </si>
  <si>
    <t>حيث</t>
  </si>
  <si>
    <t xml:space="preserve"> CMR =   </t>
  </si>
  <si>
    <t xml:space="preserve">The number of marriages per 1000 mid-year population at a certain area in a specific year. </t>
  </si>
  <si>
    <t>هو عدد الزيجات لكل ألف من السكان في منتصف السنة في منطقة معينة خلال سنة معينة.</t>
  </si>
  <si>
    <t xml:space="preserve">1- Crude Marriage Rate (CMR) : </t>
  </si>
  <si>
    <t xml:space="preserve">1- معدل الزواج الخام : </t>
  </si>
  <si>
    <t>First: Marriage Rates</t>
  </si>
  <si>
    <t xml:space="preserve">أولاً : معدلات الزواج </t>
  </si>
  <si>
    <t>INDICATORS &amp; VITAL RATES</t>
  </si>
  <si>
    <t xml:space="preserve"> Data source: Supreme Judicial  Council</t>
  </si>
  <si>
    <t xml:space="preserve">مصدر البيانات :  المجلس الأعلى للقضاء </t>
  </si>
  <si>
    <t xml:space="preserve">  Relation  </t>
  </si>
  <si>
    <t>1- First class  relationship
2-Second class relationship
3-No relationship</t>
  </si>
  <si>
    <t>1- درجة أولى
2- درجة ثانية
3- لا قرابة</t>
  </si>
  <si>
    <t>صلة القرابة</t>
  </si>
  <si>
    <t>Place of Residence</t>
  </si>
  <si>
    <t xml:space="preserve">مكان الإقامة  </t>
  </si>
  <si>
    <t xml:space="preserve">Occupation </t>
  </si>
  <si>
    <t xml:space="preserve">المهنة  </t>
  </si>
  <si>
    <t>Educational Status</t>
  </si>
  <si>
    <t>0-IIIiterate
1- Read &amp; Write
2-Primary
3-Preparatory
4-Secondary
5-Pre.U. Diploma
6-University
7- Higher Diploma
8- M.A / M.Sc.
9- Ph.D.</t>
  </si>
  <si>
    <t>0- أمي
1- يقرأ ويكتب
2- ابتدائية
3- إعدادية
4- ثانوية
5- دبلوم أقل من الجامعة
6- بكالوريوس
7- دبلوم عالي
8- ماجسيتر
9- دكتوراة</t>
  </si>
  <si>
    <t>الحالة التعليمية</t>
  </si>
  <si>
    <t>No.of Sons</t>
  </si>
  <si>
    <t xml:space="preserve">عدد الأبناء   </t>
  </si>
  <si>
    <t>Marital statue</t>
  </si>
  <si>
    <t>1-Never married 
 2-Divorced
3-Widowed</t>
  </si>
  <si>
    <t>1- لم يسبق لها الزواج
2- مطلقة
3- أرملة</t>
  </si>
  <si>
    <t>الحالة الزواجية</t>
  </si>
  <si>
    <t xml:space="preserve">  Nationality </t>
  </si>
  <si>
    <t xml:space="preserve">الجنسية  </t>
  </si>
  <si>
    <t xml:space="preserve"> Age</t>
  </si>
  <si>
    <t>العمر</t>
  </si>
  <si>
    <t>Date of Birth</t>
  </si>
  <si>
    <t>تاريخ الميلاد</t>
  </si>
  <si>
    <t>Wife Data</t>
  </si>
  <si>
    <t>Wife ID/Passport No.</t>
  </si>
  <si>
    <t>رقم بطاقة/ جواز الزوجة</t>
  </si>
  <si>
    <t>بيانات الزوجة</t>
  </si>
  <si>
    <t>Number of Wives</t>
  </si>
  <si>
    <t xml:space="preserve">عدد االزوجات بالعصمة </t>
  </si>
  <si>
    <t>No.of sons</t>
  </si>
  <si>
    <t xml:space="preserve">عدد الأبناء  </t>
  </si>
  <si>
    <t>1-Never married 
2-Married
3-Divorced
4-Widowed</t>
  </si>
  <si>
    <t>1- لم يسق له الزواج
2- متزوج
3- مطلق
4- أرمل</t>
  </si>
  <si>
    <t>Husband Data</t>
  </si>
  <si>
    <t>Husband ID/Passport No.</t>
  </si>
  <si>
    <t>رقم بطاقة/ جواز الزوج</t>
  </si>
  <si>
    <t>بيانات الزوج</t>
  </si>
  <si>
    <t>Type of Contract</t>
  </si>
  <si>
    <t>1-Not proceded by another 
2- Proceded by another</t>
  </si>
  <si>
    <t>1- لم يسبقه آخر
2- سبقه آخر</t>
  </si>
  <si>
    <t>نوع العقد</t>
  </si>
  <si>
    <t>Contract Number</t>
  </si>
  <si>
    <t>رقم العقد</t>
  </si>
  <si>
    <t>سنة</t>
  </si>
  <si>
    <t>Marriage Contract Date</t>
  </si>
  <si>
    <t>شهر</t>
  </si>
  <si>
    <t>تاريخ العقد</t>
  </si>
  <si>
    <t>بيانات عقود الزواج
Marriage Contracts Data</t>
  </si>
  <si>
    <t>No. of Kids from Previous husbands</t>
  </si>
  <si>
    <t>عدد الأبناء من الأزواج السابقين</t>
  </si>
  <si>
    <t>No. of Kids from Current husband</t>
  </si>
  <si>
    <t>عدد الأبناء من الزوج الحالي</t>
  </si>
  <si>
    <t xml:space="preserve">Duration of Marriage   </t>
  </si>
  <si>
    <t xml:space="preserve">مدة الحياة الزوجية </t>
  </si>
  <si>
    <t>Wife ID/ Passport No.</t>
  </si>
  <si>
    <t xml:space="preserve">المهنة </t>
  </si>
  <si>
    <t>No. of Wives</t>
  </si>
  <si>
    <t>عدد الزوجات الباقيات بالعصمة</t>
  </si>
  <si>
    <t>Divorcee (Man) ID/ Passport No.</t>
  </si>
  <si>
    <t>Type of Divorce</t>
  </si>
  <si>
    <t>1-Rajee
2-Khulla
3-Baan Smaller
4-Baan Greater</t>
  </si>
  <si>
    <t>1- رجعي
2- خلع
3- بينونة صغرى
4- بينونة كبرى</t>
  </si>
  <si>
    <t>نوع الطلاق</t>
  </si>
  <si>
    <t>Divorce Requester</t>
  </si>
  <si>
    <t>رقم الاشهاد</t>
  </si>
  <si>
    <t>Divorce Date</t>
  </si>
  <si>
    <t>تاريخ الطلاق</t>
  </si>
  <si>
    <t>بيانات إشهادات الطلاق
Divorce Certificates Data</t>
  </si>
  <si>
    <t>أم صلال
Umm Salal</t>
  </si>
  <si>
    <t>European Countries</t>
  </si>
  <si>
    <t>النشرة السنوية للإحصاءات الحيوية</t>
  </si>
  <si>
    <t>الزواج والطلاق</t>
  </si>
  <si>
    <t>Annual Vital Statistics Bulletin</t>
  </si>
  <si>
    <t>Marriage and Divorce</t>
  </si>
  <si>
    <t>دولــة قـطـر</t>
  </si>
  <si>
    <t>State of Qatar</t>
  </si>
  <si>
    <t>Service Workers And Shop And Market Sales Workers</t>
  </si>
  <si>
    <t>III</t>
  </si>
  <si>
    <t>V</t>
  </si>
  <si>
    <t>XIII</t>
  </si>
  <si>
    <t>XV</t>
  </si>
  <si>
    <t>XVII</t>
  </si>
  <si>
    <r>
      <t>قطريون</t>
    </r>
    <r>
      <rPr>
        <b/>
        <sz val="8"/>
        <rFont val="Arial"/>
        <family val="2"/>
        <charset val="178"/>
      </rPr>
      <t xml:space="preserve"> 
</t>
    </r>
    <r>
      <rPr>
        <b/>
        <sz val="10"/>
        <rFont val="Arial"/>
        <family val="2"/>
      </rPr>
      <t>Qataris</t>
    </r>
  </si>
  <si>
    <r>
      <t>غير قطريين</t>
    </r>
    <r>
      <rPr>
        <b/>
        <sz val="8"/>
        <rFont val="Arial"/>
        <family val="2"/>
        <charset val="178"/>
      </rPr>
      <t xml:space="preserve">
</t>
    </r>
    <r>
      <rPr>
        <b/>
        <sz val="10"/>
        <rFont val="Arial"/>
        <family val="2"/>
      </rPr>
      <t>Non-Qataris</t>
    </r>
  </si>
  <si>
    <t>إشهادات الطلاق غير قطريين
Divorces Non-Qataris</t>
  </si>
  <si>
    <t>إشهادات الطلاق قطريون 
Divorces Qataris</t>
  </si>
  <si>
    <r>
      <t>عقود الزواج غير قطريين</t>
    </r>
    <r>
      <rPr>
        <b/>
        <sz val="8"/>
        <rFont val="Arial"/>
        <family val="2"/>
      </rPr>
      <t xml:space="preserve">
Non-Qataris Marriages</t>
    </r>
  </si>
  <si>
    <r>
      <t>عقود الزواج قطريون</t>
    </r>
    <r>
      <rPr>
        <b/>
        <sz val="8"/>
        <rFont val="Arial"/>
        <family val="2"/>
      </rPr>
      <t xml:space="preserve"> 
Marriages Qataris</t>
    </r>
  </si>
  <si>
    <t>قطريون 
Qataris</t>
  </si>
  <si>
    <t>غير قطريين
Non-Qataris</t>
  </si>
  <si>
    <r>
      <t>قطريون</t>
    </r>
    <r>
      <rPr>
        <b/>
        <sz val="8"/>
        <rFont val="Arial"/>
        <family val="2"/>
      </rPr>
      <t xml:space="preserve"> 
Qataris</t>
    </r>
  </si>
  <si>
    <r>
      <t>غير قطريين</t>
    </r>
    <r>
      <rPr>
        <b/>
        <sz val="8"/>
        <rFont val="Arial"/>
        <family val="2"/>
      </rPr>
      <t xml:space="preserve">
Non-Qataris</t>
    </r>
  </si>
  <si>
    <r>
      <t>قطريات</t>
    </r>
    <r>
      <rPr>
        <b/>
        <sz val="8"/>
        <rFont val="Arial"/>
        <family val="2"/>
      </rPr>
      <t xml:space="preserve"> 
Qataris</t>
    </r>
  </si>
  <si>
    <r>
      <t>غير قطريات</t>
    </r>
    <r>
      <rPr>
        <b/>
        <sz val="8"/>
        <rFont val="Arial"/>
        <family val="2"/>
      </rPr>
      <t xml:space="preserve">
Non-Qataris</t>
    </r>
  </si>
  <si>
    <r>
      <t>بدون مهنة</t>
    </r>
    <r>
      <rPr>
        <b/>
        <vertAlign val="superscript"/>
        <sz val="12"/>
        <rFont val="Arial"/>
        <family val="2"/>
      </rPr>
      <t xml:space="preserve"> (1)</t>
    </r>
  </si>
  <si>
    <r>
      <t>No Occup.</t>
    </r>
    <r>
      <rPr>
        <vertAlign val="superscript"/>
        <sz val="10"/>
        <rFont val="Arial"/>
        <family val="2"/>
      </rPr>
      <t>(1)</t>
    </r>
  </si>
  <si>
    <r>
      <t xml:space="preserve">الزوج قطري والزوجة قطرية
</t>
    </r>
    <r>
      <rPr>
        <b/>
        <sz val="10"/>
        <rFont val="Arial"/>
        <family val="2"/>
      </rPr>
      <t>Qatari Husband &amp; Qatari Wife</t>
    </r>
  </si>
  <si>
    <r>
      <t xml:space="preserve">الزوج قطري والزوجة غير قطرية
</t>
    </r>
    <r>
      <rPr>
        <b/>
        <sz val="10"/>
        <rFont val="Arial"/>
        <family val="2"/>
      </rPr>
      <t>Qatari Husband &amp; Non-Qatari Wife</t>
    </r>
  </si>
  <si>
    <r>
      <t>الزوج غير قطري والزوجة قطرية</t>
    </r>
    <r>
      <rPr>
        <b/>
        <sz val="10"/>
        <rFont val="Arial"/>
        <family val="2"/>
      </rPr>
      <t xml:space="preserve">
Non-Qatari Husband &amp; Qatari Wife</t>
    </r>
  </si>
  <si>
    <r>
      <t xml:space="preserve">الزوج غير قطري والزوجة غير قطرية
</t>
    </r>
    <r>
      <rPr>
        <b/>
        <sz val="10"/>
        <rFont val="Arial"/>
        <family val="2"/>
      </rPr>
      <t>Non-Qatari Husband &amp; Non-Qatari Wife</t>
    </r>
  </si>
  <si>
    <r>
      <rPr>
        <b/>
        <sz val="11"/>
        <color theme="1"/>
        <rFont val="Arial"/>
        <family val="2"/>
      </rPr>
      <t>الدوحة</t>
    </r>
    <r>
      <rPr>
        <b/>
        <sz val="10"/>
        <color theme="1"/>
        <rFont val="Arial"/>
        <family val="2"/>
      </rPr>
      <t xml:space="preserve">
Doha</t>
    </r>
  </si>
  <si>
    <r>
      <rPr>
        <b/>
        <sz val="11"/>
        <color theme="1"/>
        <rFont val="Arial"/>
        <family val="2"/>
      </rPr>
      <t>الريان</t>
    </r>
    <r>
      <rPr>
        <b/>
        <sz val="10"/>
        <color theme="1"/>
        <rFont val="Arial"/>
        <family val="2"/>
      </rPr>
      <t xml:space="preserve">
Al Rayyan</t>
    </r>
  </si>
  <si>
    <r>
      <rPr>
        <b/>
        <sz val="11"/>
        <color theme="1"/>
        <rFont val="Arial"/>
        <family val="2"/>
      </rPr>
      <t>الوكرة</t>
    </r>
    <r>
      <rPr>
        <b/>
        <sz val="10"/>
        <color theme="1"/>
        <rFont val="Arial"/>
        <family val="2"/>
      </rPr>
      <t xml:space="preserve">
Al Wakra</t>
    </r>
  </si>
  <si>
    <r>
      <rPr>
        <b/>
        <sz val="11"/>
        <color theme="1"/>
        <rFont val="Arial"/>
        <family val="2"/>
      </rPr>
      <t>ام صلال</t>
    </r>
    <r>
      <rPr>
        <b/>
        <sz val="10"/>
        <color theme="1"/>
        <rFont val="Arial"/>
        <family val="2"/>
      </rPr>
      <t xml:space="preserve">
Umm Salal</t>
    </r>
  </si>
  <si>
    <r>
      <rPr>
        <b/>
        <sz val="11"/>
        <color theme="1"/>
        <rFont val="Arial"/>
        <family val="2"/>
      </rPr>
      <t>الخور</t>
    </r>
    <r>
      <rPr>
        <b/>
        <sz val="10"/>
        <color theme="1"/>
        <rFont val="Arial"/>
        <family val="2"/>
      </rPr>
      <t xml:space="preserve">
Al Khor</t>
    </r>
  </si>
  <si>
    <r>
      <rPr>
        <b/>
        <sz val="11"/>
        <color theme="1"/>
        <rFont val="Arial"/>
        <family val="2"/>
      </rPr>
      <t>الشمال</t>
    </r>
    <r>
      <rPr>
        <b/>
        <sz val="10"/>
        <color theme="1"/>
        <rFont val="Arial"/>
        <family val="2"/>
      </rPr>
      <t xml:space="preserve">
Al Shamal</t>
    </r>
  </si>
  <si>
    <r>
      <t xml:space="preserve"> </t>
    </r>
    <r>
      <rPr>
        <b/>
        <sz val="11"/>
        <color theme="1"/>
        <rFont val="Arial"/>
        <family val="2"/>
      </rPr>
      <t>الظعاين</t>
    </r>
    <r>
      <rPr>
        <b/>
        <sz val="10"/>
        <color theme="1"/>
        <rFont val="Arial"/>
        <family val="2"/>
      </rPr>
      <t xml:space="preserve">
Al Daayen</t>
    </r>
  </si>
  <si>
    <r>
      <rPr>
        <b/>
        <sz val="11"/>
        <color theme="1"/>
        <rFont val="Arial"/>
        <family val="2"/>
      </rPr>
      <t>الشحانية</t>
    </r>
    <r>
      <rPr>
        <b/>
        <sz val="10"/>
        <color theme="1"/>
        <rFont val="Arial"/>
        <family val="2"/>
      </rPr>
      <t xml:space="preserve">
Al Shahannia</t>
    </r>
  </si>
  <si>
    <r>
      <rPr>
        <b/>
        <sz val="11"/>
        <color theme="1"/>
        <rFont val="Arial"/>
        <family val="2"/>
      </rPr>
      <t>خارج قطر</t>
    </r>
    <r>
      <rPr>
        <b/>
        <sz val="10"/>
        <color theme="1"/>
        <rFont val="Arial"/>
        <family val="2"/>
      </rPr>
      <t xml:space="preserve">
Outside Qatar</t>
    </r>
  </si>
  <si>
    <r>
      <rPr>
        <b/>
        <sz val="11"/>
        <color theme="1"/>
        <rFont val="Arial"/>
        <family val="2"/>
      </rPr>
      <t>المجموع</t>
    </r>
    <r>
      <rPr>
        <b/>
        <sz val="10"/>
        <color theme="1"/>
        <rFont val="Arial"/>
        <family val="2"/>
      </rPr>
      <t xml:space="preserve">
Total</t>
    </r>
  </si>
  <si>
    <t xml:space="preserve"> 20-24</t>
  </si>
  <si>
    <t xml:space="preserve"> 25-29</t>
  </si>
  <si>
    <t xml:space="preserve"> 30-34</t>
  </si>
  <si>
    <t xml:space="preserve"> 35-39</t>
  </si>
  <si>
    <t xml:space="preserve"> 40-44</t>
  </si>
  <si>
    <t xml:space="preserve"> 45-49</t>
  </si>
  <si>
    <t xml:space="preserve"> 50-54</t>
  </si>
  <si>
    <t xml:space="preserve"> 55-59</t>
  </si>
  <si>
    <t xml:space="preserve"> 60-64</t>
  </si>
  <si>
    <t xml:space="preserve"> 65-69</t>
  </si>
  <si>
    <t xml:space="preserve"> 70-74</t>
  </si>
  <si>
    <t xml:space="preserve">75+ </t>
  </si>
  <si>
    <t xml:space="preserve">60+ </t>
  </si>
  <si>
    <t xml:space="preserve"> 5-9</t>
  </si>
  <si>
    <t xml:space="preserve"> 10-14</t>
  </si>
  <si>
    <t xml:space="preserve"> 15-19</t>
  </si>
  <si>
    <t>Age Group of Husband In Years</t>
  </si>
  <si>
    <t>Age Group of Wife
In Years</t>
  </si>
  <si>
    <r>
      <t>بقية دول مجلس التعاون</t>
    </r>
    <r>
      <rPr>
        <sz val="9"/>
        <rFont val="Arial"/>
        <family val="2"/>
        <charset val="178"/>
      </rPr>
      <t xml:space="preserve">
</t>
    </r>
    <r>
      <rPr>
        <b/>
        <sz val="9"/>
        <rFont val="Arial"/>
        <family val="2"/>
      </rPr>
      <t>Other G.C.C Countries</t>
    </r>
  </si>
  <si>
    <r>
      <t>دول أسيوية</t>
    </r>
    <r>
      <rPr>
        <b/>
        <sz val="9"/>
        <rFont val="Arial"/>
        <family val="2"/>
      </rPr>
      <t xml:space="preserve">
Asian Countries</t>
    </r>
  </si>
  <si>
    <r>
      <t>دول أوروبية</t>
    </r>
    <r>
      <rPr>
        <b/>
        <sz val="9"/>
        <rFont val="Arial"/>
        <family val="2"/>
      </rPr>
      <t xml:space="preserve">
European Countries</t>
    </r>
  </si>
  <si>
    <r>
      <t>دول اخرى</t>
    </r>
    <r>
      <rPr>
        <b/>
        <sz val="9"/>
        <rFont val="Arial"/>
        <family val="2"/>
      </rPr>
      <t xml:space="preserve">
Other Countries</t>
    </r>
  </si>
  <si>
    <t xml:space="preserve"> Age Group
 of Husband In Years</t>
  </si>
  <si>
    <t>عدد حالات غير مبين لعدد الأبناء في حالة الأزواج السابقين وهى (0)</t>
  </si>
  <si>
    <t xml:space="preserve"> Age Group
 of Wife In Years</t>
  </si>
  <si>
    <t xml:space="preserve">     The Planning and Statistics Authority  and  Supreme Judiciary Council launched the electronic linkup of their databases to strengthen partnership and achieve a quantum leap in data exchange. This step will lead to timely coordination and accuracy of data produced by both parties.</t>
  </si>
  <si>
    <t xml:space="preserve">     The data presented in this bulletin is a result of cooperation between the Planning and Statistics Authority  and Supreme Judiciary Council as per the agreed variables displayed in the annexes. </t>
  </si>
  <si>
    <t xml:space="preserve">   البيانات الواردة في هذه النشرة هي حصيلة التعاون بين جهاز التخطيط والإحصاء وبين المجلس الأعلى للقضاء وفقاً للمتغيرات المتفق عليها والمنشورة في الملاحق.  </t>
  </si>
  <si>
    <t xml:space="preserve">   وبالنسبة للشمول فإن هذه البيانات تغطي أحداث الزواج والطلاق للمسلمين التي سجلت في دولة قطر. </t>
  </si>
  <si>
    <t xml:space="preserve">    وقد تم تنفيذ الربط الالكتروني لقواعد البيانات بين جهاز التخطيط والإحصاء وبين المجلس الأعلى للقضاء بهدف تعزيز الشراكة بينهما وتحقيق نقلة نوعية في مجال تبادل البيانات وهذه الخطوة ستعمل على تماثل البيانات بين الجهتين والسرعة في الإنجاز.</t>
  </si>
  <si>
    <r>
      <t xml:space="preserve">بدون مهنة
</t>
    </r>
    <r>
      <rPr>
        <b/>
        <vertAlign val="superscript"/>
        <sz val="10"/>
        <rFont val="Arial"/>
        <family val="2"/>
      </rPr>
      <t>(1)</t>
    </r>
  </si>
  <si>
    <r>
      <rPr>
        <b/>
        <sz val="12"/>
        <rFont val="Arial"/>
        <family val="2"/>
      </rPr>
      <t>البلدية</t>
    </r>
    <r>
      <rPr>
        <b/>
        <sz val="11"/>
        <rFont val="Arial"/>
        <family val="2"/>
      </rPr>
      <t xml:space="preserve">
</t>
    </r>
    <r>
      <rPr>
        <sz val="11"/>
        <rFont val="Arial"/>
        <family val="2"/>
      </rPr>
      <t>مكان إقامة الزوج</t>
    </r>
  </si>
  <si>
    <r>
      <t xml:space="preserve">بدون مهنة </t>
    </r>
    <r>
      <rPr>
        <b/>
        <vertAlign val="superscript"/>
        <sz val="10"/>
        <rFont val="Arial"/>
        <family val="2"/>
      </rPr>
      <t>(1)</t>
    </r>
  </si>
  <si>
    <t>(1) Including Those Who Are Seeking Work And Uneconomically Active</t>
  </si>
  <si>
    <t>(1) Duration Of Marriage For Last Marriage Only</t>
  </si>
  <si>
    <t>فهرس الرسوم البيانية</t>
  </si>
  <si>
    <t xml:space="preserve"> CONTENTS OF GRAPHS</t>
  </si>
  <si>
    <t>المحتويـــــــــــات</t>
  </si>
  <si>
    <t>QATAR</t>
  </si>
  <si>
    <t>European  Countries</t>
  </si>
  <si>
    <t>دول  اخرى</t>
  </si>
  <si>
    <t>- 20</t>
  </si>
  <si>
    <t>LEGISLATORS, SENIOR OFFICIALS AND MANAGERS</t>
  </si>
  <si>
    <t>PROFESSIONALS</t>
  </si>
  <si>
    <t>TECHNICIANS AND ASSOCIATE PROFESSIONALS</t>
  </si>
  <si>
    <t>CLERKS</t>
  </si>
  <si>
    <t>SERVICE WORKERS AND SHOP AND MARKET SALES WORKERS</t>
  </si>
  <si>
    <t>SKILLED AGRICULTURAL AND FISHERY WORKERS</t>
  </si>
  <si>
    <t>CRAFT AND RELATED TRADES WORKERS</t>
  </si>
  <si>
    <t>PLANT AND MACHINE OPERATORS AND ASSEMBLERS</t>
  </si>
  <si>
    <t>ELEMENTARY OCCUPATIONS</t>
  </si>
  <si>
    <t>بدون مهنة (1)</t>
  </si>
  <si>
    <t xml:space="preserve">      ويسر جهاز التخطيط والإحصاء أن يُقدم هذه النشـرة السنوية للإحصاءات الحيوية (الزواج والطلاق) لعام 2021 ويأمل أن تكون ذات فائدة كبيرة للمخططين والباحثين.</t>
  </si>
  <si>
    <t xml:space="preserve">     The Planning and Statistics Authority has the pleasure to introduce this Annual Bulletin of Vital  Statistics (Marriages and Divorces) for the year 2021, hoping that it would be of great interest for planners and researchers.</t>
  </si>
  <si>
    <t>عقود الزواج حسب الجنسية ومكان إقامة الزوجة والزوج (2021)</t>
  </si>
  <si>
    <t>Marriages by nationality, place of wife and husband's residence (2021)</t>
  </si>
  <si>
    <t>عقود الزواج حسب جنسية الزوج والزوجة والشهر (2021)</t>
  </si>
  <si>
    <t>Marriages by nationality of husband, nationality of wife and month (2021)</t>
  </si>
  <si>
    <t>عقود الزواج حسب جنسية الزوجة والزوج (2021)</t>
  </si>
  <si>
    <t>Marriages by nationality of wife and husband (2021)</t>
  </si>
  <si>
    <t>عقود الزواج حسب فئة عمر الزوج وجنسيته (2021)</t>
  </si>
  <si>
    <t>Marriages by husband age group and his nationality (2021)</t>
  </si>
  <si>
    <t>عقود الزواج حسب فئة عمر الزوجة وجنسيتها (2021)</t>
  </si>
  <si>
    <t>Marriages by wife age group and her nationality (2021)</t>
  </si>
  <si>
    <t>عقود الزواج حسب فئة عمر الزوجة والزوج (قطريون) (2021)</t>
  </si>
  <si>
    <t>Marriages by  age group of wife and husband (Qataris) (2021)</t>
  </si>
  <si>
    <t>عقود الزواج حسب فئة عمر الزوجة والزوج (غير قطريين) (2021)</t>
  </si>
  <si>
    <t>Marriages by  age group of wife and husband
 (Non-Qataris) (2021)</t>
  </si>
  <si>
    <t>عقود الزواج حسب فئة عمر الزوجة والزوج (المجموع) (2021)</t>
  </si>
  <si>
    <t>Marriages by  age group of wife and husband (total) (2021)</t>
  </si>
  <si>
    <t>عقود الزواج حسب عدد الزوجات بالعصمة وفئة عمر الزوج (قطريون) (2021)</t>
  </si>
  <si>
    <t>Marriages by  number of  wives   and husband’s  age group (Qataris) (2021)</t>
  </si>
  <si>
    <t>عقــود الزواج حسب عدد الزوجـات بالعصمــة وفئة عمر الزوج (غير قطريين) (2021)</t>
  </si>
  <si>
    <t>Marriages by  number of wives and  husband’s age group(Non-Qataris) (2021)</t>
  </si>
  <si>
    <t>عقود الزواج حسب عدد الزوجات بالعصمة وفئة عمر الزوج (المجموع) (2021)</t>
  </si>
  <si>
    <t>Marriages by  number of wives and husband’s age group (total)  (2021)</t>
  </si>
  <si>
    <t>عقود الزواج حسب الحالة الزواجية للزوج وفئة عمر الزوج (قطريون) (2021)</t>
  </si>
  <si>
    <t>Marriages by husband marital status and age group (Qataris)  (2021)</t>
  </si>
  <si>
    <t>عقود الزواج حسب الحالة الزواجية للزوج وفئة عمر الزوج (غير قطريين) (2021)</t>
  </si>
  <si>
    <t>Marriage by husband marital status and age group (Non-Qataris)   (2021)</t>
  </si>
  <si>
    <t>عقود الزواج حسب الحالة الزواجية للزوج وفئة عمر الزوج (المجموع) (2021)</t>
  </si>
  <si>
    <t>Marriage by husband marital status and age group (total)  (2021)</t>
  </si>
  <si>
    <t>عقود الزواج حسب الحالة الزواجية للزوجة وفئة عمرها (قطريات) (2021)</t>
  </si>
  <si>
    <t>Marriages by wife marital status and age group (Qataris)  (2021)</t>
  </si>
  <si>
    <t>عقود الزواج حسب الحالة الزواجية للزوجة وفئة عمرها
(غير قطريات) (2021)</t>
  </si>
  <si>
    <t>Marriages by wife marital status and age group (Non-Qataris)  (2021)</t>
  </si>
  <si>
    <t>عقود الزواج حسب الحالة الزواجية للزوجة وفئة عمرها (المجموع) (2021)</t>
  </si>
  <si>
    <t>Marriages by wife marital status and age group (total)  (2021)</t>
  </si>
  <si>
    <t>عقود الزواج الأول للزوج والزوجة حسب فئات العمر (قطريون) (2021)</t>
  </si>
  <si>
    <t>First marriages of husband and wife by age group (Qataris)  (2021)</t>
  </si>
  <si>
    <t>عقود الزواج الأول للزوج والزوجة حسب فئات العمر (غير قطريين) (2021)</t>
  </si>
  <si>
    <t>First marriages of husband and wife by age group (Non- Qataris)  (2021)</t>
  </si>
  <si>
    <t>عقود الزواج الأول للزوج والزوجة حسب فئات العمر (المجموع) (2021)</t>
  </si>
  <si>
    <t>First marriages of husband and wife by age group (total)  (2021)</t>
  </si>
  <si>
    <t>عقود الزواج حسب الحالة التعليمية للزوجة والزوج (قطريون) (2021)</t>
  </si>
  <si>
    <t>Marriages by educational status of wife and husband (Qataris)  (2021)</t>
  </si>
  <si>
    <t>عقود الزواج حسب الحالة التعليمية للزوجة والزوج 
(غير قطريين) (2021)</t>
  </si>
  <si>
    <t>Marriages by educational status of wife and husband (Non-Qataris)  (2021)</t>
  </si>
  <si>
    <t>عقود الزواج حسب الحالة التعليمية للزوجة والزوج (المجموع) (2021)</t>
  </si>
  <si>
    <t>Marriages by educational status of wife and husband (total)  (2021)</t>
  </si>
  <si>
    <t>عقود الزواج حسب مهنة الزوجة والزوج (قطريون) (2021)</t>
  </si>
  <si>
    <t>Marriages by wife and husband occupation (Qataris)  (2021)</t>
  </si>
  <si>
    <t>عقود الزواج حسب مهنة الزوجة والزوج (غير قطريين) (2021)</t>
  </si>
  <si>
    <t>Marriages by  wife and husband occupation
 (Non-Qataris)  (2021)</t>
  </si>
  <si>
    <t>عقود الزواج حسب مهنة الزوجة والزوج (المجموع) (2021)</t>
  </si>
  <si>
    <t>Marriages by  wife and husband occupation (total)  (2021)</t>
  </si>
  <si>
    <t>عقود الزواج للقطريين حسب صلة القرابة وفئة عمر الزوجة والزوج (قرابة من الدرجة الأولى) (2021)</t>
  </si>
  <si>
    <t>Marriages for Qataris according to the relations, age group of wife and husband (relation from first class) (2021)</t>
  </si>
  <si>
    <t>عقود الزواج للقطريين حسب صلة القرابة وفئة عمر الزوجة والزوج (قرابة من الدرجة الثانية) (2021)</t>
  </si>
  <si>
    <t>Marriages for Qataris according to the relations, age group of wife and husband (relation from second class)  (2021)</t>
  </si>
  <si>
    <t>عقود الزواج للقطريين حسب صلة القرابة وفئة عمر الزوجة والزوج (لا توجد صلة قرابة) (2021)</t>
  </si>
  <si>
    <t>Marriages for Qataris according to the relations, age group of wife and husband (no relation) (2021)</t>
  </si>
  <si>
    <t>عقود الزواج حسب عدد أبناء الزوج وجنسيتة وجنسية الزوجة (2021)</t>
  </si>
  <si>
    <t>Marriages by number of husband's children &amp; nationality of husband &amp; wife (2021)</t>
  </si>
  <si>
    <t>عقود الزواج حسب عدد أبناء الزوجة وجنسيتها وجنسية الزوج (2021)</t>
  </si>
  <si>
    <t>Marriages by number of wife's children &amp; nationality of husband &amp; wife (2021)</t>
  </si>
  <si>
    <t>إشهادات الطلاق حسب الجنسية ومكان إقامة الزوجة والزوج (2021)</t>
  </si>
  <si>
    <t>Divorces by nationality,  place of wife and husband's residence (2021)</t>
  </si>
  <si>
    <t>إشهادات الطلاق حسب جنسية الزوج والزوجة والشهر (2021)</t>
  </si>
  <si>
    <t>Divorces by nationality of husband, nationality of wife and month  (2021)</t>
  </si>
  <si>
    <t>إشهادات الطلاق حسب نوع الطلاق وجنسية الزوج (2021)</t>
  </si>
  <si>
    <t>Divorces by type of divorce and nationality of husband  (2021)</t>
  </si>
  <si>
    <t>إشهادات الطلاق حسب نوع الطلاق وفئة عمر الزوج (قطريون) (2021)</t>
  </si>
  <si>
    <t>Divorces by  type of divorce and age group of husband (Qataris)  (2021)</t>
  </si>
  <si>
    <t>إشهادات الطلاق حسب نوع الطلاق وفئة عمر الزوج
(غير قطريين) (2021)</t>
  </si>
  <si>
    <t>Divorces by  type of divorce and age group of husband (Non-Qataris)  (2021)</t>
  </si>
  <si>
    <t>إشهادات الطلاق حسب نوع الطلاق وفئة عمر الزوج (المجموع) (2021)</t>
  </si>
  <si>
    <t>Divorces by  type of divorce and age group of husband (total)  (2021)</t>
  </si>
  <si>
    <t>إشهادات الطلاق حسب نوع الطلاق وفئة عمر الزوجة (قطريات) (2021)</t>
  </si>
  <si>
    <t>Divorces by  type of divorce and age group of wife (Qataris)  (2021)</t>
  </si>
  <si>
    <t>إشهادات الطلاق حسب نوع الطلاق وفئة عمر الزوجة
(غير قطريات) (2021)</t>
  </si>
  <si>
    <t>Divorces by  type of divorce and age group of wife   (Non-Qataris)  (2021)</t>
  </si>
  <si>
    <t>إشهادات الطلاق حسب نوع الطلاق وفئة عمر الزوجة (المجموع) (2021)</t>
  </si>
  <si>
    <t>Divorces by  type of divorce and age group of wife (total)  (2021)</t>
  </si>
  <si>
    <t>إشهادات الطلاق حسب نوع الطلاق وطالب الطلاق وجنسية الزوج والزوجة (2021)</t>
  </si>
  <si>
    <t>Divorces by type, initiator and nationalities of husband and wife (2021)</t>
  </si>
  <si>
    <t>إشهادات الطلاق حسب نوع الطلاق ومدة الحياة الزواجية للزوج (قطريون) (2021)</t>
  </si>
  <si>
    <t>Divorces by type of divorce and duration of marriage of husband (Qataris)  (2021)</t>
  </si>
  <si>
    <t>إشهادات الطلاق حسب نوع الطلاق ومدة الحياة الزواجية للزوج (غير قطريين) (2021)</t>
  </si>
  <si>
    <t>Divorces by type of divorce and duration of marriage of husband (Non-Qataris)  (2021)</t>
  </si>
  <si>
    <t>إشهادات الطلاق حسب نوع الطلاق ومدة الحياة الزواجية للزوج (المجموع) (2021)</t>
  </si>
  <si>
    <t>Divorces by type of divorce and duration of marriage of husband (total)  (2021)</t>
  </si>
  <si>
    <t>إشهادات الطلاق حسب جنسية الزوج والزوجة وعدد طالبي الطلاق ومدة الحياة الزواجية للزوج (2021)</t>
  </si>
  <si>
    <t>Divorces  by husband and wife, nationality, divorce initiators number and duration of marriage for husband (2021)</t>
  </si>
  <si>
    <t>إشهادات الطلاق حسب نوع الطلاق ومدة الحياة الزواجية للزوجة (قطريات) (2021)</t>
  </si>
  <si>
    <t>Divorces by type of divorce and duration of marriage of wife (Qataris)  (2021)</t>
  </si>
  <si>
    <t>إشهادات الطلاق حسب نوع الطلاق ومدة الحياة الزواجية للزوجة (غيرقطريات) (2021)</t>
  </si>
  <si>
    <t>Divorces by type of divorce and duration of marriage of wife (Non-Qataris)  (2021)</t>
  </si>
  <si>
    <t>إشهادات الطلاق حسب نوع الطلاق ومدة الحياة الزواجية للزوجة (المجموع) (2021)</t>
  </si>
  <si>
    <t>Divorces by type of divorce and duration of marriage of wife (total)  (2021)</t>
  </si>
  <si>
    <t>إشهادات الطلاق حسب مدة الحياة الزواجية وفئة عمر الزوج (قطريون) (2021)</t>
  </si>
  <si>
    <t>Divorces by duration of marriage and age group of husband (Qataris)  (2021)</t>
  </si>
  <si>
    <t>إشهادات الطلاق حسب مدة الحياة الزواجية وفئة عمر الزوج
(غير قطريين) (2021)</t>
  </si>
  <si>
    <t>Divorces by duration of marriage and age group of husband (Non-Qataris)  (2021)</t>
  </si>
  <si>
    <t>إشهادات الطلاق حسب مدة الحياة الزواجية وفئة عمر الزوج
(المجموع) (2021)</t>
  </si>
  <si>
    <t>Divorces by duration of marriage and age group of husband (total)  (2021)</t>
  </si>
  <si>
    <t>إشهادات الطلاق حسب مدة الحياة الزواجية وفئة عمر الزوجة (قطريات) (2021)</t>
  </si>
  <si>
    <t>Divorces by duration of marriage and age group of wife (Qataris)  (2021)</t>
  </si>
  <si>
    <t>إشهادات الطلاق حسب مدة الحياة الزواجية وفئة عمر الزوجة
(غير قطريات) (2021)</t>
  </si>
  <si>
    <t>Divorces by duration of marriage and age group of wife (Non-Qataris)  (2021)</t>
  </si>
  <si>
    <t>إشهادات الطلاق حسب مدة الحياة الزواجية وفئة عمر الزوجة
(لمجموع) (2021)</t>
  </si>
  <si>
    <t>Divorces by duration of marriage and age group of wife (total)  (2021)</t>
  </si>
  <si>
    <t>إشهادات الطلاق حسب فئة عمر الزوجة والزوج (قطريون) (2021)</t>
  </si>
  <si>
    <t>Divorces by age group of wife and husband (Qataris)  (2021)</t>
  </si>
  <si>
    <t>إشهادات الطلاق حسب فئة عمر الزوجة والزوج (غير قطريين) (2021)</t>
  </si>
  <si>
    <t>Divorces by age group of wife and husband (Non-Qataris)  (2021)</t>
  </si>
  <si>
    <t>إشهادات الطلاق حسب فئة عمر الزوجة والزوج (المجموع) (2021)</t>
  </si>
  <si>
    <t>Divorces by age group of wife and husband (total)  (2021)</t>
  </si>
  <si>
    <t>إشهادات الطلاق حسب فئة عمر الزوج وجنسيته (2021)</t>
  </si>
  <si>
    <t>Divorces by husband age group and nationality   (2021)</t>
  </si>
  <si>
    <t>إشهادات الطلاق حسب فئة عمر الزوجة وجنسيتها (2021)</t>
  </si>
  <si>
    <t>Divorces by wife age group and nationality  (2021)</t>
  </si>
  <si>
    <t>إشهادات الطلاق حسب جنسية الزوجة والزوج (2021)</t>
  </si>
  <si>
    <t>Divorces by nationality of wife and husband  (2021)</t>
  </si>
  <si>
    <t>إشهادات الطلاق حسب عدد الزوجات الباقيات بالعصمة وجنسية الزوج وفئة عمره (2021)</t>
  </si>
  <si>
    <t>Divorces by number of wives and nationality of husband and his age group (2021)</t>
  </si>
  <si>
    <t>إشهادات الطلاق حسب الحالة التعليمية للزوجة والزوج (قطريون) (2021)</t>
  </si>
  <si>
    <t>Divorces by educational status of wife and husband (Qataris)  (2021)</t>
  </si>
  <si>
    <t>إشهادات الطلاق حسب الحالة التعليمية للزوجة والزوج
(غير قطريين) (2021)</t>
  </si>
  <si>
    <t>Divorces by educational status of wife and husband (Non-Qataris)  (2021)</t>
  </si>
  <si>
    <t>إشهادات الطلاق حسب الحالة التعليمية للزوجة والزوج (المجموع) (2021)</t>
  </si>
  <si>
    <t>Divorces by educational status of wife and husband (total)  (2021)</t>
  </si>
  <si>
    <t>إشهادات الطلاق حسب الحالة التعليمية للزوجة وفئة عمرها (قطريات) (2021)</t>
  </si>
  <si>
    <t>Divorces by educational status of wife and her age group (Qataris)  (2021)</t>
  </si>
  <si>
    <t>إشهادات الطلاق حسب الحالة التعليمية للزوجة وفئة عمرها 
(غير قطريات) (2021)</t>
  </si>
  <si>
    <t>Divorces by educational status of wife and her age group (Non-Qataris)  (2021)</t>
  </si>
  <si>
    <t>إشهادات الطلاق حسب الحالة التعليمية للزوجة وفئة عمرها (المجموع) (2021)</t>
  </si>
  <si>
    <t>Divorces by educational status of wife and her age group (total)  (2021)</t>
  </si>
  <si>
    <t>إشهادات الطلاق حسب مهنة الزوجة والزوج (قطريون) (2021)</t>
  </si>
  <si>
    <t>Divorces by occupation of wife and husband (Qataris)  (2021)</t>
  </si>
  <si>
    <t>إشهادات الطلاق حسب مهنة الزوجة والزوج (غير قطريين) (2021)</t>
  </si>
  <si>
    <t>Divorces by occupation of wife and husband
 (Non-Qataris)  (2021)</t>
  </si>
  <si>
    <t>إشهادات الطلاق حسب مهنة الزوجة والزوج (المجموع) (2021)</t>
  </si>
  <si>
    <t>Divorces by occupation of wife and husband (total)  (2021)</t>
  </si>
  <si>
    <t>إشهادات الطلاق للقطريين حسب صلة القرابة وفئة عمر الزوج والزوجة (القرابة من الدرجة الأولى) (2021)</t>
  </si>
  <si>
    <t>Divorces of Qatari  according to relation and age group of husband and wife (relation of first class) (2021)</t>
  </si>
  <si>
    <t>إشهادات الطلاق للقطريين حسب صلة القرابة وفئة عمر الزوج والزوجة (القرابة من الدرجة الثانية) (2021)</t>
  </si>
  <si>
    <t>Divorces of Qatari according to relation and age group of wife and husband (relation of second class) (2021)</t>
  </si>
  <si>
    <t>إشهادات الطلاق للقطريين حسب صلة القرابة وفئة عمر الزوج والزوجة (لا توجد صلة قرابة) (2021)</t>
  </si>
  <si>
    <t>Divorces of Qatari  according to relation and age group of wife and husband (no relation) (2021)</t>
  </si>
  <si>
    <t>عدد الأبناء للمطلقة حسب فئة عمرالزوج والزوجة (قطريون) (2021)</t>
  </si>
  <si>
    <t>Number of children of divorcee by age group of husband and wife (Qataris) (2021)</t>
  </si>
  <si>
    <t>عدد الأبناء للمطلقة حسب فئة عمرالزوج والزوجة (غير قطريين) (2021)</t>
  </si>
  <si>
    <t>Number of children of divorcee by age group of husband and wife (Non-Qataris) (2021)</t>
  </si>
  <si>
    <t>عدد الأبناء للمطلقة حسب فئة عمرالزوج والزوجة (المجموع) (2021)</t>
  </si>
  <si>
    <t>Number of children of divorcee by age group of husband and wife (total) (2021)</t>
  </si>
  <si>
    <t>إشهادات الطلاق حسب عدد الأبناء وفئة عمر الزوجة (قطريات) (2021)</t>
  </si>
  <si>
    <t>Divorces by number of children and age group of wife (Qataris) (2021)</t>
  </si>
  <si>
    <t>إشهادات الطلاق حسب عدد الأبناء وفئة عمر الزوجة (غير قطريات) (2021)</t>
  </si>
  <si>
    <t>Divorces by number of children and age group of wife (Non-Qataris) (2021)</t>
  </si>
  <si>
    <t>إشهادات الطلاق حسب عدد الأبناء وفئة عمر الزوجة (المجموع) (2021)</t>
  </si>
  <si>
    <t>Divorces by number of children and age group of wife (total) (2021)</t>
  </si>
  <si>
    <t>إشهادات الطلاق حسب عدد أبناء الزوجة وجنسية الزوج والزوجة (2021)</t>
  </si>
  <si>
    <t>Divorces by number of wife's children &amp; nationality of husband &amp; wife (2021)</t>
  </si>
  <si>
    <t>إشهادات الطلاق حسب جنسية الزوج والزوجة وعدد أبناء الزوجة ومدة الحياة الزواجية للزوج (2021)</t>
  </si>
  <si>
    <t>Divorces  by nationality of husband, wife &amp; number of wife's children  and duration of marriage for husband (2021)</t>
  </si>
  <si>
    <t>عدد الأبناء للمطلقة من الزوج الحالي حسب جنسية الزوجة (2021)</t>
  </si>
  <si>
    <t>No. of children of the divorcee from current husbands by wife nationality (2021)</t>
  </si>
  <si>
    <t>عدد الأبناء للمطلقة من الأزواج السابقين حسب جنسية الزوجة (2021)</t>
  </si>
  <si>
    <t>No. of children of the divorcee from previous husbands by wife nationality (2021)</t>
  </si>
  <si>
    <t xml:space="preserve">عقود الزواج وإشهادات الطلاق المسجلة حسب جنسية الزوج (2012 - 2021)  </t>
  </si>
  <si>
    <t>Registered marriages and divorces by husband’s nationality (2012 - 2021)</t>
  </si>
  <si>
    <t>متوسط العمر عند أول زواج (2012 - 2021)</t>
  </si>
  <si>
    <t>Average age at first marriage (2012 - 2021)</t>
  </si>
  <si>
    <t>معدلات الزواج والطلاق الخام لكل ألف من السكان 
(2012 - 2021)</t>
  </si>
  <si>
    <t>Marriages and divorces crude rate per 1000 population (2012 - 2021)</t>
  </si>
  <si>
    <t>معدل الزواج العام حسب الجنسية والنوع لكل الف من السكان (15 سنة فأكثر)  (2012 - 2021)</t>
  </si>
  <si>
    <t>General marriage rate by nationality &amp; gender per 1000 population (15 year and above) (2012 - 2021)</t>
  </si>
  <si>
    <t>معدل الطلاق العام حسب الجنسية والجنس لكل الف من السكان (15 سنة فأكثر) (2012 - 2021)</t>
  </si>
  <si>
    <t>General divorces  rate by nationality &amp; gender per 1000 population(15 year and above) (2012 - 2021)</t>
  </si>
  <si>
    <t>عقود الزواج وإشهادات الطلاق لفاقدي القيد حسب الجنسية 
(2016 - 2020)</t>
  </si>
  <si>
    <t>Not registered marriages and divorces by  nationality (2016 - 2020)</t>
  </si>
  <si>
    <t>عقود الزواج حسب جنسية الزوج والزوجة ومكان إقامة الزوج والزوجة (2021)</t>
  </si>
  <si>
    <t>Marriages by nationality of husband, nationality of wife and place of husband &amp; wife residence (2021)</t>
  </si>
  <si>
    <t>عقود الزواج المسجلة حسب جنسية الزوج (2021)</t>
  </si>
  <si>
    <t xml:space="preserve">Marriages by nationality of husband (2021) </t>
  </si>
  <si>
    <t>عقود الزواج المسجلة حسب الحالة التعليمية للزوجة و الزوج (2021)</t>
  </si>
  <si>
    <t>Marriages by educational status of wife and husband (2021)</t>
  </si>
  <si>
    <t>عقود الزواج المسجلة حسب مهنة الزوجة والزوج (2021)</t>
  </si>
  <si>
    <t>Marriages by wife and husband occupation   (2021)</t>
  </si>
  <si>
    <t>عقود الزواج حسب عدد أبناء الزوجة وجنسية الزوج والزوجة (2021)</t>
  </si>
  <si>
    <t>إشهادات الطلاق حسب جنسية الزوج والزوجة ومكان إقامة الزوج والزوجة (2021)</t>
  </si>
  <si>
    <t>Divorces by nationality of husband, nationality of wife and place of husband &amp; wife residence (2021)</t>
  </si>
  <si>
    <t>إشهادات الطلاق حسب جنسية الزوج والشهر (2021)</t>
  </si>
  <si>
    <t>Divorces by nationality of husband and month (2021)</t>
  </si>
  <si>
    <t>إشهادات الطلاق للقطريين حسب نوع الطلاق (2021)</t>
  </si>
  <si>
    <t>Qataris divorces by type of divorce (2021)</t>
  </si>
  <si>
    <t>إشهادات الطلاق حسب جنسية الزوج (2021)</t>
  </si>
  <si>
    <t>Divorces by nationality of husband (2021)</t>
  </si>
  <si>
    <t>Divorces by nationality of wife and husband (2021)</t>
  </si>
  <si>
    <t>إشهادات الطلاق حسب الحالة التعليمية للزوجة والزوج (2021)</t>
  </si>
  <si>
    <t>Divorces by educational status of wife and husband (2021)</t>
  </si>
  <si>
    <t>إشهادات الطلاق حسب مهنة الزوجة والزوج (2021)</t>
  </si>
  <si>
    <t>Divorces by occupation of wife and husband (2021)</t>
  </si>
  <si>
    <t>Divorces of Qatari  according to relation and age group of wife and husband (relation of first class) (2021)</t>
  </si>
  <si>
    <t>Divorces of Qatari  according to relation and age group of wife and husband (relation of second class) (2021)</t>
  </si>
  <si>
    <t>عقود الزواج وإشهادات الطلاق المسجلة حسب جنسية الزوج
(2012 - 2021)</t>
  </si>
  <si>
    <t>Registered marriages &amp; divorces by husband's nationality (2012 - 2021)</t>
  </si>
  <si>
    <t>متوسط العمر عن أول زواج (قطريون) (2012 - 2021)</t>
  </si>
  <si>
    <t>Average age at first marriage (Qataris) (2012 - 2021)</t>
  </si>
  <si>
    <t>معدلات الزواج والطلاق الخام لكل ألف من السكان (2012 - 2021)</t>
  </si>
  <si>
    <t>معدل الزواج العام (2012 - 2021)</t>
  </si>
  <si>
    <t>Marriages by general rate (2012 - 2021)</t>
  </si>
  <si>
    <t>معدل الطلاق العام (2012 - 2021)</t>
  </si>
  <si>
    <t>Divorces by general rate (2012 - 2021)</t>
  </si>
  <si>
    <t>2012 - 2021</t>
  </si>
  <si>
    <t>2016 - 2020</t>
  </si>
  <si>
    <t>العدد الثامن والثلاثون</t>
  </si>
  <si>
    <r>
      <t>38</t>
    </r>
    <r>
      <rPr>
        <b/>
        <vertAlign val="superscript"/>
        <sz val="14"/>
        <color theme="1"/>
        <rFont val="Arial"/>
        <family val="2"/>
      </rPr>
      <t>th</t>
    </r>
    <r>
      <rPr>
        <b/>
        <sz val="14"/>
        <color theme="1"/>
        <rFont val="Arial"/>
        <family val="2"/>
      </rPr>
      <t xml:space="preserve"> Issue</t>
    </r>
  </si>
  <si>
    <t>* يعود الارتفاع في عدد حالات الطلاق في الأعوام 2019 - 2021 بسبب تضمينهما حالات الطلاق الحكمي الصادر بموجب احكام قضائية مثال (طلاق-خلع).</t>
  </si>
  <si>
    <t>*The rise in the number of divorce cases in 2019 - 2021 is due to the inclusion of statutory divorce cases issued pursuant to judicial rulings, such as (divorce-khul').</t>
  </si>
  <si>
    <t xml:space="preserve">  يونيو 2022</t>
  </si>
  <si>
    <t>June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</si>
</sst>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0.0"/>
  </numFmts>
  <fonts count="108">
    <font>
      <sz val="11"/>
      <color theme="1"/>
      <name val="Calibri"/>
      <family val="2"/>
      <charset val="178"/>
      <scheme val="minor"/>
    </font>
    <font>
      <sz val="10"/>
      <name val="Arial"/>
      <family val="2"/>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sz val="10"/>
      <name val="Arial"/>
      <family val="2"/>
      <charset val="178"/>
    </font>
    <font>
      <b/>
      <sz val="14"/>
      <name val="Arial"/>
      <family val="2"/>
    </font>
    <font>
      <b/>
      <sz val="13"/>
      <name val="Arial"/>
      <family val="2"/>
    </font>
    <font>
      <b/>
      <sz val="10"/>
      <name val="Arial"/>
      <family val="2"/>
    </font>
    <font>
      <b/>
      <sz val="11"/>
      <name val="Arial"/>
      <family val="2"/>
    </font>
    <font>
      <sz val="11"/>
      <name val="Arial"/>
      <family val="2"/>
    </font>
    <font>
      <sz val="9"/>
      <name val="Arial"/>
      <family val="2"/>
    </font>
    <font>
      <b/>
      <sz val="8"/>
      <name val="Arial"/>
      <family val="2"/>
      <charset val="178"/>
    </font>
    <font>
      <b/>
      <sz val="12"/>
      <name val="Courier New"/>
      <family val="3"/>
    </font>
    <font>
      <b/>
      <sz val="9"/>
      <name val="Arial"/>
      <family val="2"/>
      <charset val="178"/>
    </font>
    <font>
      <b/>
      <vertAlign val="superscript"/>
      <sz val="12"/>
      <name val="Arial"/>
      <family val="2"/>
    </font>
    <font>
      <b/>
      <sz val="10"/>
      <name val="Arial"/>
      <family val="2"/>
      <charset val="178"/>
    </font>
    <font>
      <sz val="12"/>
      <name val="Courier New"/>
      <family val="3"/>
    </font>
    <font>
      <sz val="9"/>
      <name val="Arial"/>
      <family val="2"/>
      <charset val="178"/>
    </font>
    <font>
      <b/>
      <sz val="8"/>
      <color indexed="10"/>
      <name val="Arial"/>
      <family val="2"/>
    </font>
    <font>
      <sz val="6"/>
      <name val="Arial"/>
      <family val="2"/>
    </font>
    <font>
      <sz val="8"/>
      <name val="Arial"/>
      <family val="2"/>
    </font>
    <font>
      <b/>
      <sz val="11"/>
      <color theme="0"/>
      <name val="Arial"/>
      <family val="2"/>
      <charset val="178"/>
    </font>
    <font>
      <b/>
      <sz val="10"/>
      <color rgb="FFFF0000"/>
      <name val="Arial"/>
      <family val="2"/>
    </font>
    <font>
      <b/>
      <sz val="12"/>
      <color indexed="10"/>
      <name val="Arial"/>
      <family val="2"/>
      <charset val="178"/>
    </font>
    <font>
      <sz val="10"/>
      <color theme="1"/>
      <name val="Arial"/>
      <family val="2"/>
    </font>
    <font>
      <b/>
      <sz val="12"/>
      <color theme="1"/>
      <name val="Arial"/>
      <family val="2"/>
    </font>
    <font>
      <b/>
      <sz val="11"/>
      <color theme="1"/>
      <name val="Arial"/>
      <family val="2"/>
    </font>
    <font>
      <sz val="10"/>
      <name val="Arial"/>
      <family val="2"/>
    </font>
    <font>
      <b/>
      <sz val="12"/>
      <name val="Arial"/>
      <family val="2"/>
    </font>
    <font>
      <b/>
      <sz val="11"/>
      <name val="Arial"/>
      <family val="2"/>
    </font>
    <font>
      <sz val="11"/>
      <name val="Arial"/>
      <family val="2"/>
    </font>
    <font>
      <sz val="10"/>
      <color theme="1"/>
      <name val="Arial"/>
      <family val="2"/>
    </font>
    <font>
      <b/>
      <sz val="10"/>
      <color theme="1"/>
      <name val="Arial"/>
      <family val="2"/>
    </font>
    <font>
      <b/>
      <sz val="10"/>
      <color indexed="8"/>
      <name val="Arial"/>
      <family val="2"/>
    </font>
    <font>
      <b/>
      <sz val="11"/>
      <color theme="1"/>
      <name val="Arial"/>
      <family val="2"/>
    </font>
    <font>
      <sz val="10"/>
      <color theme="1"/>
      <name val="Arial"/>
      <family val="2"/>
    </font>
    <font>
      <sz val="11"/>
      <color theme="1"/>
      <name val="Arial"/>
      <family val="2"/>
    </font>
    <font>
      <b/>
      <sz val="10"/>
      <name val="Arial"/>
      <family val="2"/>
    </font>
    <font>
      <b/>
      <sz val="12"/>
      <name val="Arial"/>
      <family val="2"/>
    </font>
    <font>
      <sz val="10"/>
      <name val="Arial"/>
      <family val="2"/>
    </font>
    <font>
      <sz val="11"/>
      <color theme="1"/>
      <name val="Calibri"/>
      <family val="2"/>
      <scheme val="minor"/>
    </font>
    <font>
      <b/>
      <sz val="11"/>
      <color theme="1"/>
      <name val="Arial"/>
      <family val="2"/>
    </font>
    <font>
      <sz val="10"/>
      <color theme="1"/>
      <name val="Arial"/>
      <family val="2"/>
    </font>
    <font>
      <b/>
      <sz val="10"/>
      <color theme="1"/>
      <name val="Arial"/>
      <family val="2"/>
    </font>
    <font>
      <b/>
      <sz val="7"/>
      <name val="Arial"/>
      <family val="2"/>
    </font>
    <font>
      <sz val="11"/>
      <color theme="1"/>
      <name val="Calibri"/>
      <family val="2"/>
      <charset val="178"/>
      <scheme val="minor"/>
    </font>
    <font>
      <sz val="14"/>
      <name val="Arial"/>
      <family val="2"/>
    </font>
    <font>
      <b/>
      <sz val="9"/>
      <color theme="1"/>
      <name val="Arial"/>
      <family val="2"/>
    </font>
    <font>
      <sz val="9"/>
      <color theme="1"/>
      <name val="Arial"/>
      <family val="2"/>
    </font>
    <font>
      <b/>
      <sz val="7"/>
      <color theme="1"/>
      <name val="Arial"/>
      <family val="2"/>
    </font>
    <font>
      <b/>
      <sz val="8"/>
      <color theme="1"/>
      <name val="Arial"/>
      <family val="2"/>
    </font>
    <font>
      <b/>
      <sz val="20"/>
      <name val="Arabic Transparent"/>
      <charset val="178"/>
    </font>
    <font>
      <sz val="14"/>
      <name val="Arabic Transparent"/>
      <charset val="178"/>
    </font>
    <font>
      <sz val="10"/>
      <name val="Times New Roman"/>
      <family val="1"/>
    </font>
    <font>
      <b/>
      <sz val="14"/>
      <name val="Arabic Transparent"/>
      <charset val="178"/>
    </font>
    <font>
      <sz val="12"/>
      <name val="Times New Roman"/>
      <family val="1"/>
    </font>
    <font>
      <b/>
      <sz val="15"/>
      <name val="AF_Najed"/>
      <charset val="178"/>
    </font>
    <font>
      <sz val="12"/>
      <name val="Arial"/>
      <family val="2"/>
    </font>
    <font>
      <b/>
      <sz val="14"/>
      <color rgb="FF993366"/>
      <name val="Arial"/>
      <family val="2"/>
    </font>
    <font>
      <sz val="16"/>
      <color rgb="FF993366"/>
      <name val="Arial"/>
      <family val="2"/>
    </font>
    <font>
      <b/>
      <sz val="20"/>
      <color rgb="FF993366"/>
      <name val="Arial"/>
      <family val="2"/>
    </font>
    <font>
      <u/>
      <sz val="11"/>
      <color theme="10"/>
      <name val="Calibri"/>
      <family val="2"/>
      <charset val="178"/>
      <scheme val="minor"/>
    </font>
    <font>
      <b/>
      <sz val="12"/>
      <color rgb="FF0000FF"/>
      <name val="Arial"/>
      <family val="2"/>
    </font>
    <font>
      <b/>
      <sz val="9"/>
      <color indexed="12"/>
      <name val="Arial"/>
      <family val="2"/>
    </font>
    <font>
      <b/>
      <sz val="11"/>
      <color indexed="12"/>
      <name val="PT Bold Heading"/>
      <charset val="178"/>
    </font>
    <font>
      <b/>
      <sz val="12"/>
      <color rgb="FF993366"/>
      <name val="Arial"/>
      <family val="2"/>
    </font>
    <font>
      <b/>
      <sz val="10"/>
      <color rgb="FF993366"/>
      <name val="Traditional Arabic"/>
      <family val="1"/>
    </font>
    <font>
      <b/>
      <sz val="11"/>
      <color rgb="FF993366"/>
      <name val="PT Bold Heading"/>
      <charset val="178"/>
    </font>
    <font>
      <b/>
      <sz val="10"/>
      <name val="Traditional Arabic"/>
      <family val="1"/>
    </font>
    <font>
      <b/>
      <sz val="13"/>
      <name val="Arabic Transparent"/>
      <charset val="178"/>
    </font>
    <font>
      <b/>
      <sz val="11"/>
      <name val="Traditional Arabic"/>
      <family val="1"/>
    </font>
    <font>
      <b/>
      <sz val="16"/>
      <color indexed="12"/>
      <name val="Arial"/>
      <family val="2"/>
    </font>
    <font>
      <sz val="10"/>
      <color rgb="FF993366"/>
      <name val="Arial"/>
      <family val="2"/>
    </font>
    <font>
      <b/>
      <sz val="16"/>
      <color rgb="FF993366"/>
      <name val="Arial"/>
      <family val="2"/>
    </font>
    <font>
      <b/>
      <sz val="10"/>
      <name val="Arabic Transparent"/>
      <charset val="178"/>
    </font>
    <font>
      <sz val="10"/>
      <name val="Arabic Transparent"/>
      <charset val="178"/>
    </font>
    <font>
      <sz val="9"/>
      <name val="Arabic Transparent"/>
      <charset val="178"/>
    </font>
    <font>
      <b/>
      <sz val="24"/>
      <name val="AdvertisingBold"/>
      <charset val="178"/>
    </font>
    <font>
      <b/>
      <sz val="24"/>
      <name val="Sakkal Majalla"/>
    </font>
    <font>
      <sz val="10"/>
      <color rgb="FF000000"/>
      <name val="Arial"/>
      <family val="2"/>
    </font>
    <font>
      <b/>
      <sz val="10"/>
      <color theme="1"/>
      <name val="Arial"/>
      <family val="2"/>
    </font>
    <font>
      <b/>
      <sz val="26"/>
      <color theme="1"/>
      <name val="Sakkal Majalla"/>
    </font>
    <font>
      <b/>
      <sz val="18"/>
      <color theme="1"/>
      <name val="Arial"/>
      <family val="2"/>
    </font>
    <font>
      <b/>
      <sz val="16"/>
      <color theme="1"/>
      <name val="Arial"/>
      <family val="2"/>
    </font>
    <font>
      <b/>
      <sz val="14"/>
      <color theme="1"/>
      <name val="Arial"/>
      <family val="2"/>
    </font>
    <font>
      <b/>
      <sz val="20"/>
      <color theme="1"/>
      <name val="Arial"/>
      <family val="2"/>
    </font>
    <font>
      <sz val="19"/>
      <color theme="1"/>
      <name val="Sakkal Majalla"/>
    </font>
    <font>
      <b/>
      <sz val="16"/>
      <color theme="1"/>
      <name val="Sultan bold"/>
      <charset val="178"/>
    </font>
    <font>
      <b/>
      <sz val="16"/>
      <color theme="1"/>
      <name val="AF_Najed"/>
    </font>
    <font>
      <b/>
      <vertAlign val="superscript"/>
      <sz val="14"/>
      <color theme="1"/>
      <name val="Arial"/>
      <family val="2"/>
    </font>
    <font>
      <vertAlign val="superscript"/>
      <sz val="10"/>
      <name val="Arial"/>
      <family val="2"/>
    </font>
    <font>
      <sz val="10"/>
      <color theme="1"/>
      <name val="Arial"/>
      <family val="2"/>
    </font>
    <font>
      <b/>
      <vertAlign val="superscript"/>
      <sz val="10"/>
      <name val="Arial"/>
      <family val="2"/>
    </font>
    <font>
      <sz val="10"/>
      <color theme="1"/>
      <name val="Calibri"/>
      <family val="2"/>
      <scheme val="minor"/>
    </font>
    <font>
      <b/>
      <sz val="18"/>
      <color rgb="FF993366"/>
      <name val="Arial"/>
      <family val="2"/>
    </font>
    <font>
      <b/>
      <sz val="14"/>
      <color rgb="FF993366"/>
      <name val="PT Bold Heading"/>
      <charset val="178"/>
    </font>
    <font>
      <b/>
      <sz val="10"/>
      <color theme="1"/>
      <name val="Arial"/>
    </font>
    <font>
      <b/>
      <sz val="12"/>
      <color theme="1"/>
      <name val="Arial"/>
    </font>
    <font>
      <b/>
      <sz val="12"/>
      <name val="Arial"/>
    </font>
    <font>
      <b/>
      <sz val="10"/>
      <name val="Arial"/>
    </font>
    <font>
      <b/>
      <sz val="10"/>
      <color indexed="8"/>
      <name val="Arial"/>
    </font>
  </fonts>
  <fills count="8">
    <fill>
      <patternFill patternType="none"/>
    </fill>
    <fill>
      <patternFill patternType="gray125"/>
    </fill>
    <fill>
      <patternFill patternType="solid">
        <fgColor indexed="43"/>
        <bgColor indexed="64"/>
      </patternFill>
    </fill>
    <fill>
      <patternFill patternType="solid">
        <fgColor theme="2"/>
        <bgColor indexed="64"/>
      </patternFill>
    </fill>
    <fill>
      <patternFill patternType="solid">
        <fgColor indexed="22"/>
        <bgColor indexed="64"/>
      </patternFill>
    </fill>
    <fill>
      <patternFill patternType="solid">
        <fgColor indexed="61"/>
        <bgColor indexed="64"/>
      </patternFill>
    </fill>
    <fill>
      <patternFill patternType="solid">
        <fgColor theme="0"/>
        <bgColor indexed="64"/>
      </patternFill>
    </fill>
    <fill>
      <patternFill patternType="solid">
        <fgColor rgb="FFEEECE1"/>
        <bgColor indexed="64"/>
      </patternFill>
    </fill>
  </fills>
  <borders count="105">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medium">
        <color theme="0"/>
      </top>
      <bottom style="thin">
        <color indexed="64"/>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thick">
        <color indexed="64"/>
      </left>
      <right/>
      <top/>
      <bottom style="thick">
        <color indexed="64"/>
      </bottom>
      <diagonal/>
    </border>
    <border>
      <left style="thick">
        <color indexed="64"/>
      </left>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bottom/>
      <diagonal/>
    </border>
    <border>
      <left/>
      <right style="thick">
        <color indexed="64"/>
      </right>
      <top style="thick">
        <color indexed="64"/>
      </top>
      <bottom/>
      <diagonal/>
    </border>
    <border>
      <left/>
      <right/>
      <top style="thick">
        <color indexed="64"/>
      </top>
      <bottom/>
      <diagonal/>
    </border>
    <border>
      <left style="thick">
        <color indexed="64"/>
      </left>
      <right/>
      <top style="thick">
        <color indexed="64"/>
      </top>
      <bottom/>
      <diagonal/>
    </border>
    <border>
      <left style="medium">
        <color theme="0"/>
      </left>
      <right/>
      <top/>
      <bottom/>
      <diagonal/>
    </border>
    <border>
      <left style="medium">
        <color theme="0"/>
      </left>
      <right style="medium">
        <color theme="0"/>
      </right>
      <top/>
      <bottom/>
      <diagonal/>
    </border>
    <border>
      <left/>
      <right style="medium">
        <color theme="0"/>
      </right>
      <top/>
      <bottom/>
      <diagonal/>
    </border>
    <border>
      <left/>
      <right style="medium">
        <color theme="0"/>
      </right>
      <top/>
      <bottom style="thin">
        <color indexed="64"/>
      </bottom>
      <diagonal/>
    </border>
    <border>
      <left style="medium">
        <color theme="0"/>
      </left>
      <right/>
      <top/>
      <bottom style="thin">
        <color indexed="64"/>
      </bottom>
      <diagonal/>
    </border>
    <border>
      <left/>
      <right/>
      <top/>
      <bottom style="medium">
        <color theme="0"/>
      </bottom>
      <diagonal/>
    </border>
    <border>
      <left/>
      <right/>
      <top style="medium">
        <color theme="0"/>
      </top>
      <bottom/>
      <diagonal/>
    </border>
    <border>
      <left style="medium">
        <color theme="0"/>
      </left>
      <right/>
      <top style="thin">
        <color indexed="64"/>
      </top>
      <bottom/>
      <diagonal/>
    </border>
    <border>
      <left/>
      <right style="medium">
        <color theme="0"/>
      </right>
      <top style="thin">
        <color indexed="64"/>
      </top>
      <bottom/>
      <diagonal/>
    </border>
    <border>
      <left/>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medium">
        <color theme="0"/>
      </left>
      <right style="medium">
        <color theme="0"/>
      </right>
      <top style="thin">
        <color theme="1"/>
      </top>
      <bottom style="medium">
        <color theme="0"/>
      </bottom>
      <diagonal/>
    </border>
    <border>
      <left/>
      <right style="medium">
        <color theme="0"/>
      </right>
      <top style="thin">
        <color theme="1"/>
      </top>
      <bottom style="medium">
        <color theme="0"/>
      </bottom>
      <diagonal/>
    </border>
    <border>
      <left style="medium">
        <color theme="0"/>
      </left>
      <right/>
      <top style="thin">
        <color theme="1"/>
      </top>
      <bottom style="medium">
        <color theme="0"/>
      </bottom>
      <diagonal/>
    </border>
    <border>
      <left/>
      <right style="medium">
        <color theme="0"/>
      </right>
      <top style="medium">
        <color theme="0"/>
      </top>
      <bottom style="thin">
        <color theme="1"/>
      </bottom>
      <diagonal/>
    </border>
    <border>
      <left style="medium">
        <color theme="0"/>
      </left>
      <right style="medium">
        <color theme="0"/>
      </right>
      <top style="medium">
        <color theme="0"/>
      </top>
      <bottom style="thin">
        <color theme="1"/>
      </bottom>
      <diagonal/>
    </border>
    <border>
      <left style="medium">
        <color theme="0"/>
      </left>
      <right/>
      <top style="medium">
        <color theme="0"/>
      </top>
      <bottom style="thin">
        <color theme="1"/>
      </bottom>
      <diagonal/>
    </border>
    <border>
      <left/>
      <right/>
      <top style="thin">
        <color theme="1"/>
      </top>
      <bottom style="thin">
        <color theme="1"/>
      </bottom>
      <diagonal/>
    </border>
    <border>
      <left style="medium">
        <color theme="0"/>
      </left>
      <right style="medium">
        <color theme="0"/>
      </right>
      <top style="thin">
        <color theme="1"/>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diagonal/>
    </border>
    <border>
      <left/>
      <right/>
      <top style="medium">
        <color indexed="64"/>
      </top>
      <bottom/>
      <diagonal/>
    </border>
    <border>
      <left style="medium">
        <color theme="0"/>
      </left>
      <right style="medium">
        <color theme="0"/>
      </right>
      <top style="thin">
        <color indexed="64"/>
      </top>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thin">
        <color indexed="64"/>
      </bottom>
      <diagonal/>
    </border>
    <border>
      <left style="medium">
        <color theme="0"/>
      </left>
      <right/>
      <top style="thin">
        <color indexed="64"/>
      </top>
      <bottom/>
      <diagonal/>
    </border>
    <border>
      <left/>
      <right style="medium">
        <color theme="0"/>
      </right>
      <top style="thin">
        <color indexed="64"/>
      </top>
      <bottom/>
      <diagonal/>
    </border>
    <border>
      <left style="thin">
        <color indexed="60"/>
      </left>
      <right style="thin">
        <color indexed="60"/>
      </right>
      <top/>
      <bottom style="thin">
        <color indexed="60"/>
      </bottom>
      <diagonal/>
    </border>
    <border>
      <left style="thin">
        <color indexed="60"/>
      </left>
      <right style="thin">
        <color indexed="60"/>
      </right>
      <top/>
      <bottom/>
      <diagonal/>
    </border>
    <border>
      <left style="thin">
        <color indexed="60"/>
      </left>
      <right style="thin">
        <color indexed="60"/>
      </right>
      <top style="thin">
        <color indexed="60"/>
      </top>
      <bottom style="thin">
        <color indexed="60"/>
      </bottom>
      <diagonal/>
    </border>
    <border>
      <left/>
      <right style="double">
        <color rgb="FF993300"/>
      </right>
      <top/>
      <bottom style="double">
        <color rgb="FF993300"/>
      </bottom>
      <diagonal/>
    </border>
    <border>
      <left/>
      <right/>
      <top/>
      <bottom style="double">
        <color rgb="FF993300"/>
      </bottom>
      <diagonal/>
    </border>
    <border>
      <left style="double">
        <color indexed="60"/>
      </left>
      <right/>
      <top/>
      <bottom style="double">
        <color rgb="FF993300"/>
      </bottom>
      <diagonal/>
    </border>
    <border>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bottom style="medium">
        <color theme="5"/>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medium">
        <color rgb="FFFFFFFF"/>
      </left>
      <right/>
      <top style="medium">
        <color indexed="64"/>
      </top>
      <bottom style="medium">
        <color rgb="FFFFFFFF"/>
      </bottom>
      <diagonal/>
    </border>
    <border>
      <left style="medium">
        <color rgb="FFFFFFFF"/>
      </left>
      <right/>
      <top/>
      <bottom style="medium">
        <color rgb="FFFFFFFF"/>
      </bottom>
      <diagonal/>
    </border>
    <border>
      <left style="medium">
        <color theme="0"/>
      </left>
      <right style="medium">
        <color theme="0"/>
      </right>
      <top style="thin">
        <color auto="1"/>
      </top>
      <bottom style="medium">
        <color theme="0"/>
      </bottom>
      <diagonal/>
    </border>
    <border>
      <left style="medium">
        <color theme="0"/>
      </left>
      <right/>
      <top style="thin">
        <color auto="1"/>
      </top>
      <bottom style="medium">
        <color theme="0"/>
      </bottom>
      <diagonal/>
    </border>
    <border>
      <left/>
      <right style="medium">
        <color theme="0"/>
      </right>
      <top style="thin">
        <color indexed="64"/>
      </top>
      <bottom style="medium">
        <color theme="0"/>
      </bottom>
      <diagonal/>
    </border>
    <border>
      <left style="medium">
        <color theme="0"/>
      </left>
      <right style="medium">
        <color theme="0"/>
      </right>
      <top style="thin">
        <color theme="1"/>
      </top>
      <bottom style="thin">
        <color indexed="64"/>
      </bottom>
      <diagonal/>
    </border>
    <border>
      <left style="medium">
        <color theme="0"/>
      </left>
      <right/>
      <top style="thin">
        <color indexed="64"/>
      </top>
      <bottom style="medium">
        <color rgb="FFFFFFFF"/>
      </bottom>
      <diagonal/>
    </border>
    <border>
      <left style="medium">
        <color theme="0"/>
      </left>
      <right style="medium">
        <color rgb="FFFFFFFF"/>
      </right>
      <top style="thin">
        <color indexed="64"/>
      </top>
      <bottom style="medium">
        <color rgb="FFFFFFFF"/>
      </bottom>
      <diagonal/>
    </border>
    <border>
      <left style="medium">
        <color theme="0"/>
      </left>
      <right style="medium">
        <color theme="0"/>
      </right>
      <top style="thin">
        <color auto="1"/>
      </top>
      <bottom style="medium">
        <color theme="0"/>
      </bottom>
      <diagonal/>
    </border>
    <border>
      <left style="medium">
        <color theme="0"/>
      </left>
      <right style="medium">
        <color theme="0"/>
      </right>
      <top style="thin">
        <color indexed="64"/>
      </top>
      <bottom/>
      <diagonal/>
    </border>
    <border>
      <left style="medium">
        <color theme="0"/>
      </left>
      <right/>
      <top style="thin">
        <color indexed="64"/>
      </top>
      <bottom/>
      <diagonal/>
    </border>
    <border>
      <left/>
      <right style="medium">
        <color theme="0"/>
      </right>
      <top style="thin">
        <color indexed="64"/>
      </top>
      <bottom/>
      <diagonal/>
    </border>
    <border>
      <left style="medium">
        <color theme="0"/>
      </left>
      <right/>
      <top style="thin">
        <color indexed="64"/>
      </top>
      <bottom style="medium">
        <color rgb="FFFFFFFF"/>
      </bottom>
      <diagonal/>
    </border>
    <border>
      <left/>
      <right/>
      <top style="thin">
        <color auto="1"/>
      </top>
      <bottom/>
      <diagonal/>
    </border>
    <border>
      <left style="medium">
        <color theme="0"/>
      </left>
      <right style="medium">
        <color theme="0"/>
      </right>
      <top style="thin">
        <color auto="1"/>
      </top>
      <bottom style="medium">
        <color theme="0"/>
      </bottom>
      <diagonal/>
    </border>
    <border>
      <left style="medium">
        <color theme="0"/>
      </left>
      <right style="medium">
        <color theme="0"/>
      </right>
      <top/>
      <bottom style="thin">
        <color auto="1"/>
      </bottom>
      <diagonal/>
    </border>
    <border>
      <left style="medium">
        <color theme="0"/>
      </left>
      <right/>
      <top style="thin">
        <color indexed="64"/>
      </top>
      <bottom/>
      <diagonal/>
    </border>
    <border>
      <left/>
      <right style="medium">
        <color theme="0"/>
      </right>
      <top style="thin">
        <color indexed="64"/>
      </top>
      <bottom/>
      <diagonal/>
    </border>
    <border>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style="medium">
        <color theme="0"/>
      </left>
      <right style="medium">
        <color theme="0"/>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style="medium">
        <color theme="0"/>
      </right>
      <top style="thin">
        <color indexed="64"/>
      </top>
      <bottom style="medium">
        <color indexed="64"/>
      </bottom>
      <diagonal/>
    </border>
    <border>
      <left style="medium">
        <color theme="0"/>
      </left>
      <right/>
      <top style="thin">
        <color indexed="64"/>
      </top>
      <bottom style="thin">
        <color indexed="64"/>
      </bottom>
      <diagonal/>
    </border>
    <border>
      <left style="medium">
        <color theme="0"/>
      </left>
      <right style="medium">
        <color theme="0"/>
      </right>
      <top style="thin">
        <color indexed="64"/>
      </top>
      <bottom/>
      <diagonal/>
    </border>
    <border>
      <left/>
      <right/>
      <top style="thin">
        <color indexed="64"/>
      </top>
      <bottom style="thin">
        <color indexed="64"/>
      </bottom>
      <diagonal/>
    </border>
  </borders>
  <cellStyleXfs count="51">
    <xf numFmtId="0" fontId="0" fillId="0" borderId="0"/>
    <xf numFmtId="0" fontId="1" fillId="0" borderId="0"/>
    <xf numFmtId="0" fontId="2" fillId="0" borderId="0" applyAlignment="0">
      <alignment horizontal="centerContinuous" vertical="center"/>
    </xf>
    <xf numFmtId="0" fontId="2" fillId="0" borderId="0" applyAlignment="0">
      <alignment horizontal="centerContinuous" vertical="center"/>
    </xf>
    <xf numFmtId="0" fontId="3" fillId="0" borderId="0" applyAlignment="0">
      <alignment horizontal="centerContinuous" vertical="center"/>
    </xf>
    <xf numFmtId="0" fontId="3" fillId="0" borderId="0" applyAlignment="0">
      <alignment horizontal="centerContinuous" vertical="center"/>
    </xf>
    <xf numFmtId="0" fontId="4" fillId="2" borderId="1">
      <alignment horizontal="right" vertical="center" wrapText="1"/>
    </xf>
    <xf numFmtId="1" fontId="5" fillId="2" borderId="2">
      <alignment horizontal="left" vertical="center" wrapText="1"/>
    </xf>
    <xf numFmtId="1" fontId="6" fillId="2" borderId="3">
      <alignment horizontal="center" vertical="center"/>
    </xf>
    <xf numFmtId="0" fontId="7" fillId="2" borderId="3">
      <alignment horizontal="center" vertical="center" wrapText="1"/>
    </xf>
    <xf numFmtId="0" fontId="8" fillId="2" borderId="3">
      <alignment horizontal="center" vertical="center" wrapText="1"/>
    </xf>
    <xf numFmtId="0" fontId="1" fillId="0" borderId="0">
      <alignment horizontal="center" vertical="center" readingOrder="2"/>
    </xf>
    <xf numFmtId="0" fontId="9" fillId="0" borderId="0">
      <alignment horizontal="left" vertical="center"/>
    </xf>
    <xf numFmtId="0" fontId="10" fillId="0" borderId="0">
      <alignment horizontal="right" vertical="center"/>
    </xf>
    <xf numFmtId="0" fontId="4" fillId="0" borderId="0">
      <alignment horizontal="right" vertical="center"/>
    </xf>
    <xf numFmtId="0" fontId="1" fillId="0" borderId="0">
      <alignment horizontal="left" vertical="center"/>
    </xf>
    <xf numFmtId="0" fontId="10" fillId="0" borderId="4">
      <alignment horizontal="right" vertical="center" indent="1"/>
    </xf>
    <xf numFmtId="0" fontId="4" fillId="2" borderId="4">
      <alignment horizontal="right" vertical="center" wrapText="1" indent="1" readingOrder="2"/>
    </xf>
    <xf numFmtId="0" fontId="11" fillId="0" borderId="4">
      <alignment horizontal="right" vertical="center" indent="1"/>
    </xf>
    <xf numFmtId="0" fontId="11" fillId="2" borderId="4">
      <alignment horizontal="left" vertical="center" wrapText="1" indent="1"/>
    </xf>
    <xf numFmtId="0" fontId="11" fillId="0" borderId="5">
      <alignment horizontal="left" vertical="center"/>
    </xf>
    <xf numFmtId="0" fontId="11" fillId="0" borderId="6">
      <alignment horizontal="left" vertical="center"/>
    </xf>
    <xf numFmtId="0" fontId="25" fillId="0" borderId="0">
      <alignment horizontal="left" vertical="center"/>
    </xf>
    <xf numFmtId="0" fontId="1" fillId="0" borderId="0">
      <alignment horizontal="left" vertical="center"/>
    </xf>
    <xf numFmtId="0" fontId="4" fillId="0" borderId="0">
      <alignment horizontal="right" vertical="center"/>
    </xf>
    <xf numFmtId="0" fontId="30" fillId="2" borderId="3" applyAlignment="0">
      <alignment horizontal="center" vertical="center"/>
    </xf>
    <xf numFmtId="0" fontId="4" fillId="2" borderId="1">
      <alignment horizontal="right" vertical="center" wrapText="1"/>
    </xf>
    <xf numFmtId="0" fontId="2" fillId="0" borderId="0" applyAlignment="0">
      <alignment horizontal="centerContinuous" vertical="center"/>
    </xf>
    <xf numFmtId="0" fontId="3" fillId="0" borderId="0" applyAlignment="0">
      <alignment horizontal="centerContinuous" vertical="center"/>
    </xf>
    <xf numFmtId="0" fontId="1" fillId="0" borderId="0"/>
    <xf numFmtId="0" fontId="1" fillId="0" borderId="0">
      <alignment horizontal="left" vertical="center"/>
    </xf>
    <xf numFmtId="0" fontId="1" fillId="0" borderId="0">
      <alignment horizontal="left" vertical="center"/>
    </xf>
    <xf numFmtId="0" fontId="4" fillId="2" borderId="4">
      <alignment horizontal="right" vertical="center" wrapText="1" indent="1" readingOrder="2"/>
    </xf>
    <xf numFmtId="0" fontId="1" fillId="0" borderId="0"/>
    <xf numFmtId="0" fontId="47" fillId="0" borderId="0"/>
    <xf numFmtId="43" fontId="1" fillId="0" borderId="0" applyFont="0" applyFill="0" applyBorder="0" applyAlignment="0" applyProtection="0"/>
    <xf numFmtId="0" fontId="4" fillId="2" borderId="1">
      <alignment horizontal="right" vertical="center" wrapText="1"/>
    </xf>
    <xf numFmtId="0" fontId="8" fillId="2" borderId="3">
      <alignment horizontal="center" vertical="center" wrapText="1"/>
    </xf>
    <xf numFmtId="0" fontId="8" fillId="2" borderId="3">
      <alignment horizontal="center" vertical="center" wrapText="1"/>
    </xf>
    <xf numFmtId="0" fontId="1" fillId="0" borderId="0">
      <alignment horizontal="center" vertical="center" readingOrder="2"/>
    </xf>
    <xf numFmtId="0" fontId="1" fillId="0" borderId="0"/>
    <xf numFmtId="0" fontId="52" fillId="0" borderId="0"/>
    <xf numFmtId="0" fontId="52" fillId="0" borderId="0"/>
    <xf numFmtId="0" fontId="52" fillId="0" borderId="0"/>
    <xf numFmtId="0" fontId="52" fillId="0" borderId="0"/>
    <xf numFmtId="0" fontId="52" fillId="0" borderId="0"/>
    <xf numFmtId="0" fontId="4" fillId="0" borderId="0">
      <alignment horizontal="right" vertical="center"/>
    </xf>
    <xf numFmtId="0" fontId="1" fillId="0" borderId="0">
      <alignment horizontal="left" vertical="center"/>
    </xf>
    <xf numFmtId="0" fontId="4" fillId="2" borderId="4">
      <alignment horizontal="right" vertical="center" wrapText="1" indent="1" readingOrder="2"/>
    </xf>
    <xf numFmtId="0" fontId="4" fillId="2" borderId="4">
      <alignment horizontal="right" vertical="center" wrapText="1" indent="1" readingOrder="2"/>
    </xf>
    <xf numFmtId="0" fontId="68" fillId="0" borderId="0" applyNumberFormat="0" applyFill="0" applyBorder="0" applyAlignment="0" applyProtection="0"/>
  </cellStyleXfs>
  <cellXfs count="1258">
    <xf numFmtId="0" fontId="0" fillId="0" borderId="0" xfId="0"/>
    <xf numFmtId="0" fontId="1" fillId="0" borderId="0" xfId="1"/>
    <xf numFmtId="0" fontId="1" fillId="0" borderId="0" xfId="1" applyFont="1"/>
    <xf numFmtId="0" fontId="12" fillId="0" borderId="0" xfId="1" applyFont="1" applyAlignment="1">
      <alignment vertical="center" readingOrder="2"/>
    </xf>
    <xf numFmtId="0" fontId="4" fillId="0" borderId="0" xfId="1" applyFont="1" applyAlignment="1">
      <alignment horizontal="right" vertical="center" readingOrder="2"/>
    </xf>
    <xf numFmtId="0" fontId="1" fillId="0" borderId="0" xfId="1" applyAlignment="1">
      <alignment vertical="center"/>
    </xf>
    <xf numFmtId="0" fontId="14" fillId="0" borderId="14" xfId="1" applyFont="1" applyFill="1" applyBorder="1" applyAlignment="1">
      <alignment horizontal="right" vertical="center" indent="1" readingOrder="1"/>
    </xf>
    <xf numFmtId="164" fontId="14" fillId="0" borderId="14" xfId="1" applyNumberFormat="1" applyFont="1" applyFill="1" applyBorder="1" applyAlignment="1">
      <alignment horizontal="right" vertical="center" indent="1" readingOrder="1"/>
    </xf>
    <xf numFmtId="164" fontId="14" fillId="3" borderId="17" xfId="1" applyNumberFormat="1" applyFont="1" applyFill="1" applyBorder="1" applyAlignment="1">
      <alignment horizontal="right" vertical="center" indent="1" readingOrder="1"/>
    </xf>
    <xf numFmtId="164" fontId="14" fillId="0" borderId="17" xfId="1" applyNumberFormat="1" applyFont="1" applyFill="1" applyBorder="1" applyAlignment="1">
      <alignment horizontal="right" vertical="center" indent="1" readingOrder="1"/>
    </xf>
    <xf numFmtId="164" fontId="14" fillId="0" borderId="20" xfId="1" applyNumberFormat="1" applyFont="1" applyFill="1" applyBorder="1" applyAlignment="1">
      <alignment horizontal="right" vertical="center" indent="1" readingOrder="1"/>
    </xf>
    <xf numFmtId="164" fontId="1" fillId="0" borderId="0" xfId="1" applyNumberFormat="1"/>
    <xf numFmtId="0" fontId="1" fillId="0" borderId="0" xfId="1" applyAlignment="1">
      <alignment wrapText="1"/>
    </xf>
    <xf numFmtId="0" fontId="4" fillId="3" borderId="10" xfId="17" applyFont="1" applyFill="1" applyBorder="1" applyAlignment="1">
      <alignment horizontal="center" vertical="center" wrapText="1" readingOrder="2"/>
    </xf>
    <xf numFmtId="0" fontId="14" fillId="0" borderId="18" xfId="17" applyFont="1" applyFill="1" applyBorder="1" applyAlignment="1">
      <alignment horizontal="center" vertical="center" wrapText="1" readingOrder="1"/>
    </xf>
    <xf numFmtId="0" fontId="4" fillId="0" borderId="16" xfId="17" applyFont="1" applyFill="1" applyBorder="1" applyAlignment="1">
      <alignment horizontal="center" vertical="center" wrapText="1" readingOrder="2"/>
    </xf>
    <xf numFmtId="0" fontId="14" fillId="3" borderId="18" xfId="17" applyFont="1" applyFill="1" applyBorder="1" applyAlignment="1">
      <alignment horizontal="center" vertical="center" wrapText="1" readingOrder="1"/>
    </xf>
    <xf numFmtId="3" fontId="14" fillId="3" borderId="17" xfId="1" applyNumberFormat="1" applyFont="1" applyFill="1" applyBorder="1" applyAlignment="1">
      <alignment horizontal="right" vertical="center" indent="1" readingOrder="1"/>
    </xf>
    <xf numFmtId="0" fontId="4" fillId="3" borderId="16" xfId="17" applyFont="1" applyFill="1" applyBorder="1" applyAlignment="1">
      <alignment horizontal="center" vertical="center" wrapText="1" readingOrder="2"/>
    </xf>
    <xf numFmtId="3" fontId="14" fillId="0" borderId="14" xfId="1" applyNumberFormat="1" applyFont="1" applyFill="1" applyBorder="1" applyAlignment="1">
      <alignment horizontal="right" vertical="center" indent="1" readingOrder="1"/>
    </xf>
    <xf numFmtId="3" fontId="1" fillId="0" borderId="14" xfId="1" applyNumberFormat="1" applyFont="1" applyFill="1" applyBorder="1" applyAlignment="1">
      <alignment horizontal="right" vertical="center" indent="1" readingOrder="1"/>
    </xf>
    <xf numFmtId="0" fontId="4" fillId="0" borderId="13" xfId="17" applyFont="1" applyFill="1" applyBorder="1" applyAlignment="1">
      <alignment horizontal="center" vertical="center" wrapText="1" readingOrder="2"/>
    </xf>
    <xf numFmtId="0" fontId="7" fillId="3" borderId="23" xfId="1" applyFont="1" applyFill="1" applyBorder="1" applyAlignment="1">
      <alignment horizontal="center" vertical="center" wrapText="1" readingOrder="1"/>
    </xf>
    <xf numFmtId="0" fontId="3" fillId="0" borderId="0" xfId="4" applyAlignment="1">
      <alignment readingOrder="1"/>
    </xf>
    <xf numFmtId="164" fontId="1" fillId="3" borderId="11" xfId="18" applyNumberFormat="1" applyFont="1" applyFill="1" applyBorder="1">
      <alignment horizontal="right" vertical="center" indent="1"/>
    </xf>
    <xf numFmtId="164" fontId="1" fillId="0" borderId="17" xfId="18" applyNumberFormat="1" applyFont="1" applyFill="1" applyBorder="1">
      <alignment horizontal="right" vertical="center" indent="1"/>
    </xf>
    <xf numFmtId="164" fontId="1" fillId="3" borderId="17" xfId="18" applyNumberFormat="1" applyFont="1" applyFill="1" applyBorder="1">
      <alignment horizontal="right" vertical="center" indent="1"/>
    </xf>
    <xf numFmtId="0" fontId="14" fillId="0" borderId="9" xfId="17" applyFont="1" applyFill="1" applyBorder="1" applyAlignment="1">
      <alignment horizontal="center" vertical="center" wrapText="1" readingOrder="1"/>
    </xf>
    <xf numFmtId="0" fontId="4" fillId="0" borderId="7" xfId="17" applyFont="1" applyFill="1" applyBorder="1" applyAlignment="1">
      <alignment horizontal="center" vertical="center" wrapText="1" readingOrder="2"/>
    </xf>
    <xf numFmtId="0" fontId="14" fillId="0" borderId="0" xfId="1" applyFont="1"/>
    <xf numFmtId="0" fontId="4" fillId="0" borderId="0" xfId="14" applyFont="1" applyAlignment="1">
      <alignment vertical="center"/>
    </xf>
    <xf numFmtId="3" fontId="1" fillId="0" borderId="17" xfId="18" applyNumberFormat="1" applyFont="1" applyFill="1" applyBorder="1">
      <alignment horizontal="right" vertical="center" indent="1"/>
    </xf>
    <xf numFmtId="3" fontId="1" fillId="3" borderId="17" xfId="18" applyNumberFormat="1" applyFont="1" applyFill="1" applyBorder="1">
      <alignment horizontal="right" vertical="center" indent="1"/>
    </xf>
    <xf numFmtId="3" fontId="1" fillId="0" borderId="14" xfId="18" applyNumberFormat="1" applyFont="1" applyFill="1" applyBorder="1">
      <alignment horizontal="right" vertical="center" indent="1"/>
    </xf>
    <xf numFmtId="0" fontId="7" fillId="3" borderId="27" xfId="1" applyFont="1" applyFill="1" applyBorder="1" applyAlignment="1">
      <alignment horizontal="center" wrapText="1" readingOrder="2"/>
    </xf>
    <xf numFmtId="0" fontId="7" fillId="3" borderId="27" xfId="1" applyFont="1" applyFill="1" applyBorder="1" applyAlignment="1">
      <alignment horizontal="center" wrapText="1" readingOrder="1"/>
    </xf>
    <xf numFmtId="164" fontId="1" fillId="3" borderId="17" xfId="16" applyNumberFormat="1" applyFont="1" applyFill="1" applyBorder="1">
      <alignment horizontal="right" vertical="center" indent="1"/>
    </xf>
    <xf numFmtId="0" fontId="4" fillId="0" borderId="0" xfId="14" applyAlignment="1">
      <alignment vertical="center"/>
    </xf>
    <xf numFmtId="0" fontId="14" fillId="0" borderId="24" xfId="17" applyFont="1" applyFill="1" applyBorder="1" applyAlignment="1">
      <alignment horizontal="center" vertical="center" wrapText="1" readingOrder="1"/>
    </xf>
    <xf numFmtId="0" fontId="1" fillId="3" borderId="21" xfId="17" applyFont="1" applyFill="1" applyBorder="1" applyAlignment="1">
      <alignment horizontal="left" vertical="center" wrapText="1" indent="1" readingOrder="1"/>
    </xf>
    <xf numFmtId="0" fontId="4" fillId="3" borderId="19" xfId="17" applyFont="1" applyFill="1" applyBorder="1" applyAlignment="1">
      <alignment horizontal="right" vertical="center" wrapText="1" indent="1" readingOrder="2"/>
    </xf>
    <xf numFmtId="0" fontId="1" fillId="0" borderId="18" xfId="17" applyFont="1" applyFill="1" applyBorder="1" applyAlignment="1">
      <alignment horizontal="left" vertical="center" wrapText="1" indent="1" readingOrder="1"/>
    </xf>
    <xf numFmtId="0" fontId="1" fillId="3" borderId="18" xfId="17" applyFont="1" applyFill="1" applyBorder="1" applyAlignment="1">
      <alignment horizontal="left" vertical="center" wrapText="1" indent="1" readingOrder="1"/>
    </xf>
    <xf numFmtId="0" fontId="4" fillId="3" borderId="16" xfId="17" applyFont="1" applyFill="1" applyBorder="1" applyAlignment="1">
      <alignment horizontal="right" vertical="center" wrapText="1" indent="1" readingOrder="2"/>
    </xf>
    <xf numFmtId="0" fontId="1" fillId="0" borderId="15" xfId="17" applyFont="1" applyFill="1" applyBorder="1" applyAlignment="1">
      <alignment horizontal="left" vertical="center" wrapText="1" indent="1" readingOrder="1"/>
    </xf>
    <xf numFmtId="0" fontId="1" fillId="0" borderId="29" xfId="1" applyBorder="1" applyAlignment="1">
      <alignment wrapText="1"/>
    </xf>
    <xf numFmtId="0" fontId="1" fillId="0" borderId="30" xfId="1" applyBorder="1" applyAlignment="1">
      <alignment wrapText="1"/>
    </xf>
    <xf numFmtId="0" fontId="4" fillId="0" borderId="22" xfId="17" applyFont="1" applyFill="1" applyBorder="1" applyAlignment="1">
      <alignment horizontal="center" vertical="center" wrapText="1" readingOrder="2"/>
    </xf>
    <xf numFmtId="164" fontId="14" fillId="3" borderId="20" xfId="18" applyNumberFormat="1" applyFont="1" applyFill="1" applyBorder="1">
      <alignment horizontal="right" vertical="center" indent="1"/>
    </xf>
    <xf numFmtId="164" fontId="14" fillId="0" borderId="17" xfId="18" applyNumberFormat="1" applyFont="1" applyFill="1" applyBorder="1">
      <alignment horizontal="right" vertical="center" indent="1"/>
    </xf>
    <xf numFmtId="164" fontId="14" fillId="3" borderId="17" xfId="18" applyNumberFormat="1" applyFont="1" applyFill="1" applyBorder="1">
      <alignment horizontal="right" vertical="center" indent="1"/>
    </xf>
    <xf numFmtId="164" fontId="14" fillId="0" borderId="14" xfId="18" applyNumberFormat="1" applyFont="1" applyFill="1" applyBorder="1">
      <alignment horizontal="right" vertical="center" indent="1"/>
    </xf>
    <xf numFmtId="3" fontId="14" fillId="0" borderId="14" xfId="18" applyNumberFormat="1" applyFont="1" applyFill="1" applyBorder="1">
      <alignment horizontal="right" vertical="center" indent="1"/>
    </xf>
    <xf numFmtId="3" fontId="14" fillId="3" borderId="20" xfId="1" applyNumberFormat="1" applyFont="1" applyFill="1" applyBorder="1" applyAlignment="1">
      <alignment horizontal="right" vertical="center" indent="1" readingOrder="1"/>
    </xf>
    <xf numFmtId="0" fontId="4" fillId="0" borderId="0" xfId="4" applyFont="1" applyAlignment="1">
      <alignment vertical="top" wrapText="1"/>
    </xf>
    <xf numFmtId="0" fontId="4" fillId="0" borderId="0" xfId="4" applyFont="1" applyAlignment="1"/>
    <xf numFmtId="0" fontId="12" fillId="0" borderId="0" xfId="2" applyFont="1" applyAlignment="1"/>
    <xf numFmtId="164" fontId="14" fillId="3" borderId="20" xfId="1" applyNumberFormat="1" applyFont="1" applyFill="1" applyBorder="1" applyAlignment="1">
      <alignment horizontal="right" vertical="center" indent="1" readingOrder="1"/>
    </xf>
    <xf numFmtId="0" fontId="1" fillId="3" borderId="21" xfId="1" applyFont="1" applyFill="1" applyBorder="1" applyAlignment="1">
      <alignment horizontal="left" vertical="center" wrapText="1" indent="1" readingOrder="1"/>
    </xf>
    <xf numFmtId="0" fontId="1" fillId="0" borderId="18" xfId="1" applyFont="1" applyFill="1" applyBorder="1" applyAlignment="1">
      <alignment horizontal="left" vertical="center" wrapText="1" indent="1" readingOrder="1"/>
    </xf>
    <xf numFmtId="0" fontId="1" fillId="3" borderId="18" xfId="1" applyFont="1" applyFill="1" applyBorder="1" applyAlignment="1">
      <alignment horizontal="left" vertical="center" wrapText="1" indent="1" readingOrder="1"/>
    </xf>
    <xf numFmtId="0" fontId="1" fillId="0" borderId="15" xfId="1" applyFont="1" applyFill="1" applyBorder="1" applyAlignment="1">
      <alignment horizontal="left" vertical="center" wrapText="1" indent="1" readingOrder="1"/>
    </xf>
    <xf numFmtId="0" fontId="25" fillId="0" borderId="0" xfId="22">
      <alignment horizontal="left" vertical="center"/>
    </xf>
    <xf numFmtId="0" fontId="15" fillId="4" borderId="20" xfId="1" applyFont="1" applyFill="1" applyBorder="1" applyAlignment="1">
      <alignment vertical="center" wrapText="1" readingOrder="2"/>
    </xf>
    <xf numFmtId="0" fontId="28" fillId="5" borderId="17" xfId="1" applyFont="1" applyFill="1" applyBorder="1" applyAlignment="1">
      <alignment horizontal="center" vertical="center" wrapText="1"/>
    </xf>
    <xf numFmtId="2" fontId="4" fillId="3" borderId="19" xfId="17" applyNumberFormat="1" applyFont="1" applyFill="1" applyBorder="1" applyAlignment="1">
      <alignment horizontal="right" vertical="center" wrapText="1" indent="1" readingOrder="2"/>
    </xf>
    <xf numFmtId="2" fontId="4" fillId="0" borderId="16" xfId="17" applyNumberFormat="1" applyFont="1" applyFill="1" applyBorder="1" applyAlignment="1">
      <alignment horizontal="right" vertical="center" wrapText="1" indent="1" readingOrder="2"/>
    </xf>
    <xf numFmtId="2" fontId="4" fillId="3" borderId="16" xfId="17" applyNumberFormat="1" applyFont="1" applyFill="1" applyBorder="1" applyAlignment="1">
      <alignment horizontal="right" vertical="center" wrapText="1" indent="1" readingOrder="2"/>
    </xf>
    <xf numFmtId="2" fontId="4" fillId="0" borderId="13" xfId="17" applyNumberFormat="1" applyFont="1" applyFill="1" applyBorder="1" applyAlignment="1">
      <alignment horizontal="right" vertical="center" wrapText="1" indent="1" readingOrder="2"/>
    </xf>
    <xf numFmtId="164" fontId="14" fillId="0" borderId="23" xfId="17" applyNumberFormat="1" applyFont="1" applyFill="1" applyBorder="1" applyAlignment="1">
      <alignment horizontal="left" vertical="center" wrapText="1" indent="1"/>
    </xf>
    <xf numFmtId="0" fontId="4" fillId="3" borderId="19" xfId="17" applyFont="1" applyFill="1" applyBorder="1" applyAlignment="1">
      <alignment horizontal="center" vertical="center" wrapText="1" readingOrder="2"/>
    </xf>
    <xf numFmtId="0" fontId="14" fillId="3" borderId="24" xfId="17" applyFont="1" applyFill="1" applyBorder="1" applyAlignment="1">
      <alignment horizontal="center" vertical="center" wrapText="1" readingOrder="1"/>
    </xf>
    <xf numFmtId="164" fontId="14" fillId="3" borderId="23" xfId="17" applyNumberFormat="1" applyFont="1" applyFill="1" applyBorder="1" applyAlignment="1">
      <alignment horizontal="left" vertical="center" wrapText="1" indent="1"/>
    </xf>
    <xf numFmtId="0" fontId="4" fillId="3" borderId="22" xfId="17" applyFont="1" applyFill="1" applyBorder="1" applyAlignment="1">
      <alignment horizontal="center" vertical="center" wrapText="1" readingOrder="2"/>
    </xf>
    <xf numFmtId="0" fontId="29" fillId="0" borderId="0" xfId="1" applyFont="1" applyAlignment="1">
      <alignment horizontal="right" readingOrder="2"/>
    </xf>
    <xf numFmtId="0" fontId="1" fillId="0" borderId="14" xfId="1" applyFont="1" applyFill="1" applyBorder="1" applyAlignment="1">
      <alignment horizontal="right" vertical="center" indent="1" readingOrder="1"/>
    </xf>
    <xf numFmtId="0" fontId="1" fillId="0" borderId="34" xfId="1" applyBorder="1"/>
    <xf numFmtId="0" fontId="1" fillId="0" borderId="35" xfId="1" applyBorder="1"/>
    <xf numFmtId="0" fontId="1" fillId="0" borderId="36" xfId="1" applyBorder="1"/>
    <xf numFmtId="164" fontId="14" fillId="0" borderId="38" xfId="1" applyNumberFormat="1" applyFont="1" applyFill="1" applyBorder="1" applyAlignment="1">
      <alignment horizontal="right" vertical="center" indent="1" readingOrder="1"/>
    </xf>
    <xf numFmtId="0" fontId="15" fillId="4" borderId="18" xfId="1" applyFont="1" applyFill="1" applyBorder="1" applyAlignment="1">
      <alignment horizontal="center" vertical="center" wrapText="1" readingOrder="2"/>
    </xf>
    <xf numFmtId="0" fontId="1" fillId="0" borderId="0" xfId="1" applyAlignment="1">
      <alignment wrapText="1" readingOrder="1"/>
    </xf>
    <xf numFmtId="49" fontId="1" fillId="0" borderId="0" xfId="1" applyNumberFormat="1"/>
    <xf numFmtId="49" fontId="4" fillId="0" borderId="13" xfId="17" applyNumberFormat="1" applyFont="1" applyFill="1" applyBorder="1" applyAlignment="1">
      <alignment horizontal="center" vertical="center" wrapText="1" readingOrder="2"/>
    </xf>
    <xf numFmtId="0" fontId="4" fillId="0" borderId="40" xfId="17" applyFont="1" applyFill="1" applyBorder="1" applyAlignment="1">
      <alignment horizontal="center" vertical="center" wrapText="1" readingOrder="2"/>
    </xf>
    <xf numFmtId="3" fontId="14" fillId="0" borderId="28" xfId="1" applyNumberFormat="1" applyFont="1" applyFill="1" applyBorder="1" applyAlignment="1">
      <alignment horizontal="right" vertical="center" indent="1" readingOrder="1"/>
    </xf>
    <xf numFmtId="0" fontId="14" fillId="0" borderId="41" xfId="17" applyFont="1" applyFill="1" applyBorder="1" applyAlignment="1">
      <alignment horizontal="center" vertical="center" wrapText="1" readingOrder="1"/>
    </xf>
    <xf numFmtId="0" fontId="0" fillId="0" borderId="0" xfId="0" applyAlignment="1">
      <alignment horizontal="center"/>
    </xf>
    <xf numFmtId="0" fontId="1" fillId="6" borderId="0" xfId="1" applyFill="1"/>
    <xf numFmtId="0" fontId="1" fillId="0" borderId="0" xfId="1" applyBorder="1" applyAlignment="1">
      <alignment wrapText="1"/>
    </xf>
    <xf numFmtId="0" fontId="4" fillId="0" borderId="40" xfId="1" applyFont="1" applyFill="1" applyBorder="1" applyAlignment="1">
      <alignment horizontal="center" vertical="center" readingOrder="2"/>
    </xf>
    <xf numFmtId="0" fontId="14" fillId="0" borderId="41" xfId="1" applyFont="1" applyFill="1" applyBorder="1" applyAlignment="1">
      <alignment horizontal="center" vertical="center" readingOrder="1"/>
    </xf>
    <xf numFmtId="0" fontId="4" fillId="3" borderId="40" xfId="1" applyFont="1" applyFill="1" applyBorder="1" applyAlignment="1">
      <alignment horizontal="center" vertical="center" readingOrder="2"/>
    </xf>
    <xf numFmtId="3" fontId="1" fillId="3" borderId="38" xfId="1" applyNumberFormat="1" applyFont="1" applyFill="1" applyBorder="1" applyAlignment="1">
      <alignment horizontal="right" vertical="center" indent="1" readingOrder="1"/>
    </xf>
    <xf numFmtId="3" fontId="1" fillId="0" borderId="0" xfId="1" applyNumberFormat="1"/>
    <xf numFmtId="0" fontId="1" fillId="0" borderId="15" xfId="1" applyFont="1" applyFill="1" applyBorder="1" applyAlignment="1">
      <alignment horizontal="center" vertical="center" wrapText="1" readingOrder="1"/>
    </xf>
    <xf numFmtId="3" fontId="14" fillId="0" borderId="28" xfId="17" applyNumberFormat="1" applyFont="1" applyFill="1" applyBorder="1" applyAlignment="1">
      <alignment horizontal="left" vertical="center" wrapText="1" indent="1"/>
    </xf>
    <xf numFmtId="0" fontId="34" fillId="0" borderId="15" xfId="17" applyFont="1" applyFill="1" applyBorder="1" applyAlignment="1">
      <alignment horizontal="left" vertical="center" wrapText="1" indent="1" readingOrder="1"/>
    </xf>
    <xf numFmtId="0" fontId="34" fillId="0" borderId="37" xfId="17" applyFont="1" applyFill="1" applyBorder="1" applyAlignment="1">
      <alignment horizontal="left" vertical="center" wrapText="1" indent="1" readingOrder="1"/>
    </xf>
    <xf numFmtId="3" fontId="14" fillId="0" borderId="28" xfId="18" applyNumberFormat="1" applyFont="1" applyFill="1" applyBorder="1">
      <alignment horizontal="right" vertical="center" indent="1"/>
    </xf>
    <xf numFmtId="3" fontId="14" fillId="0" borderId="28" xfId="16" applyNumberFormat="1" applyFont="1" applyFill="1" applyBorder="1">
      <alignment horizontal="right" vertical="center" indent="1"/>
    </xf>
    <xf numFmtId="3" fontId="14" fillId="0" borderId="15" xfId="18" applyNumberFormat="1" applyFont="1" applyFill="1" applyBorder="1" applyAlignment="1">
      <alignment horizontal="right" vertical="center" indent="1"/>
    </xf>
    <xf numFmtId="3" fontId="14" fillId="0" borderId="15" xfId="18" applyNumberFormat="1" applyFont="1" applyFill="1" applyBorder="1">
      <alignment horizontal="right" vertical="center" indent="1"/>
    </xf>
    <xf numFmtId="0" fontId="35" fillId="0" borderId="13" xfId="17" applyFont="1" applyFill="1" applyBorder="1" applyAlignment="1">
      <alignment horizontal="center" vertical="center" wrapText="1" readingOrder="2"/>
    </xf>
    <xf numFmtId="0" fontId="35" fillId="0" borderId="39" xfId="17" applyFont="1" applyFill="1" applyBorder="1" applyAlignment="1">
      <alignment horizontal="center" vertical="center" wrapText="1" readingOrder="2"/>
    </xf>
    <xf numFmtId="0" fontId="4" fillId="3" borderId="40" xfId="17" applyFont="1" applyFill="1" applyBorder="1" applyAlignment="1">
      <alignment horizontal="center" vertical="center" wrapText="1" readingOrder="2"/>
    </xf>
    <xf numFmtId="3" fontId="14" fillId="3" borderId="28" xfId="1" applyNumberFormat="1" applyFont="1" applyFill="1" applyBorder="1" applyAlignment="1">
      <alignment horizontal="right" vertical="center" indent="1" readingOrder="1"/>
    </xf>
    <xf numFmtId="3" fontId="14" fillId="3" borderId="28" xfId="18" applyNumberFormat="1" applyFont="1" applyFill="1" applyBorder="1">
      <alignment horizontal="right" vertical="center" indent="1"/>
    </xf>
    <xf numFmtId="0" fontId="14" fillId="3" borderId="41" xfId="17" applyFont="1" applyFill="1" applyBorder="1" applyAlignment="1">
      <alignment horizontal="center" vertical="center" wrapText="1" readingOrder="1"/>
    </xf>
    <xf numFmtId="0" fontId="1" fillId="0" borderId="13" xfId="1" applyFont="1" applyFill="1" applyBorder="1" applyAlignment="1">
      <alignment horizontal="right" vertical="center" indent="1" readingOrder="1"/>
    </xf>
    <xf numFmtId="0" fontId="14" fillId="0" borderId="15" xfId="1" applyFont="1" applyFill="1" applyBorder="1" applyAlignment="1">
      <alignment horizontal="right" vertical="center" indent="1" readingOrder="1"/>
    </xf>
    <xf numFmtId="0" fontId="14" fillId="0" borderId="28" xfId="1" applyFont="1" applyFill="1" applyBorder="1" applyAlignment="1">
      <alignment horizontal="right" vertical="center" indent="1" readingOrder="1"/>
    </xf>
    <xf numFmtId="0" fontId="1" fillId="3" borderId="0" xfId="1" applyFill="1"/>
    <xf numFmtId="0" fontId="14" fillId="0" borderId="13" xfId="1" applyFont="1" applyFill="1" applyBorder="1" applyAlignment="1">
      <alignment horizontal="right" vertical="center" indent="1" readingOrder="1"/>
    </xf>
    <xf numFmtId="0" fontId="4" fillId="0" borderId="10" xfId="1" applyFont="1" applyFill="1" applyBorder="1" applyAlignment="1">
      <alignment horizontal="center" vertical="center" readingOrder="2"/>
    </xf>
    <xf numFmtId="49" fontId="35" fillId="0" borderId="13" xfId="17" applyNumberFormat="1" applyFont="1" applyFill="1" applyBorder="1" applyAlignment="1">
      <alignment horizontal="center" vertical="center" wrapText="1" readingOrder="2"/>
    </xf>
    <xf numFmtId="49" fontId="35" fillId="0" borderId="39" xfId="17" applyNumberFormat="1" applyFont="1" applyFill="1" applyBorder="1" applyAlignment="1">
      <alignment horizontal="center" vertical="center" wrapText="1" readingOrder="2"/>
    </xf>
    <xf numFmtId="0" fontId="14" fillId="6" borderId="37" xfId="1" applyFont="1" applyFill="1" applyBorder="1" applyAlignment="1">
      <alignment horizontal="center" vertical="center" readingOrder="1"/>
    </xf>
    <xf numFmtId="0" fontId="15" fillId="0" borderId="13" xfId="1" applyFont="1" applyFill="1" applyBorder="1" applyAlignment="1">
      <alignment horizontal="right" vertical="center" wrapText="1" indent="1" readingOrder="2"/>
    </xf>
    <xf numFmtId="0" fontId="15" fillId="0"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164" fontId="7" fillId="3" borderId="23" xfId="1" applyNumberFormat="1" applyFont="1" applyFill="1" applyBorder="1" applyAlignment="1">
      <alignment horizontal="center" vertical="center" wrapText="1" readingOrder="1"/>
    </xf>
    <xf numFmtId="0" fontId="0" fillId="0" borderId="0" xfId="0" applyAlignment="1">
      <alignment wrapText="1"/>
    </xf>
    <xf numFmtId="3" fontId="31" fillId="0" borderId="17" xfId="18" applyNumberFormat="1" applyFont="1" applyFill="1" applyBorder="1" applyAlignment="1">
      <alignment horizontal="right" vertical="center" indent="1"/>
    </xf>
    <xf numFmtId="0" fontId="14" fillId="3" borderId="37" xfId="17" applyFont="1" applyFill="1" applyBorder="1" applyAlignment="1">
      <alignment horizontal="center" vertical="center" wrapText="1" readingOrder="1"/>
    </xf>
    <xf numFmtId="164" fontId="1" fillId="3" borderId="38" xfId="1" applyNumberFormat="1" applyFont="1" applyFill="1" applyBorder="1" applyAlignment="1">
      <alignment horizontal="right" vertical="center" indent="1" readingOrder="1"/>
    </xf>
    <xf numFmtId="3" fontId="14" fillId="3" borderId="38" xfId="1" applyNumberFormat="1" applyFont="1" applyFill="1" applyBorder="1" applyAlignment="1">
      <alignment horizontal="right" vertical="center" indent="1" readingOrder="1"/>
    </xf>
    <xf numFmtId="164" fontId="14" fillId="3" borderId="38" xfId="1" applyNumberFormat="1" applyFont="1" applyFill="1" applyBorder="1" applyAlignment="1">
      <alignment horizontal="right" vertical="center" indent="1" readingOrder="1"/>
    </xf>
    <xf numFmtId="3" fontId="31" fillId="6" borderId="14" xfId="0" applyNumberFormat="1" applyFont="1" applyFill="1" applyBorder="1" applyAlignment="1">
      <alignment horizontal="right" vertical="center" indent="1"/>
    </xf>
    <xf numFmtId="164" fontId="31" fillId="6" borderId="14" xfId="0" applyNumberFormat="1" applyFont="1" applyFill="1" applyBorder="1" applyAlignment="1">
      <alignment horizontal="right" vertical="center" indent="1"/>
    </xf>
    <xf numFmtId="3" fontId="39" fillId="6" borderId="14" xfId="0" applyNumberFormat="1" applyFont="1" applyFill="1" applyBorder="1" applyAlignment="1">
      <alignment horizontal="right" vertical="center" indent="1"/>
    </xf>
    <xf numFmtId="164" fontId="39" fillId="6" borderId="14" xfId="0" applyNumberFormat="1" applyFont="1" applyFill="1" applyBorder="1" applyAlignment="1">
      <alignment horizontal="right" vertical="center" indent="1"/>
    </xf>
    <xf numFmtId="3" fontId="39" fillId="6" borderId="17" xfId="0" applyNumberFormat="1" applyFont="1" applyFill="1" applyBorder="1" applyAlignment="1">
      <alignment horizontal="right" vertical="center" indent="1"/>
    </xf>
    <xf numFmtId="0" fontId="4" fillId="0" borderId="7" xfId="17" applyFont="1" applyFill="1" applyBorder="1" applyAlignment="1">
      <alignment horizontal="right" vertical="center" wrapText="1" indent="1" readingOrder="2"/>
    </xf>
    <xf numFmtId="0" fontId="1" fillId="0" borderId="9" xfId="17" applyFont="1" applyFill="1" applyBorder="1" applyAlignment="1">
      <alignment horizontal="left" vertical="center" wrapText="1" indent="1" readingOrder="1"/>
    </xf>
    <xf numFmtId="0" fontId="4" fillId="0" borderId="16" xfId="17" applyFont="1" applyFill="1" applyBorder="1" applyAlignment="1">
      <alignment horizontal="right" vertical="center" wrapText="1" indent="1" readingOrder="2"/>
    </xf>
    <xf numFmtId="3" fontId="1" fillId="0" borderId="8" xfId="1" applyNumberFormat="1" applyFont="1" applyFill="1" applyBorder="1" applyAlignment="1">
      <alignment horizontal="right" vertical="center" indent="1" readingOrder="1"/>
    </xf>
    <xf numFmtId="164" fontId="14" fillId="0" borderId="8" xfId="18" applyNumberFormat="1" applyFont="1" applyFill="1" applyBorder="1" applyAlignment="1">
      <alignment horizontal="right" vertical="center" indent="1"/>
    </xf>
    <xf numFmtId="164" fontId="14" fillId="3" borderId="17" xfId="18" applyNumberFormat="1" applyFont="1" applyFill="1" applyBorder="1" applyAlignment="1">
      <alignment horizontal="right" vertical="center" indent="1"/>
    </xf>
    <xf numFmtId="164" fontId="14" fillId="0" borderId="17" xfId="18" applyNumberFormat="1" applyFont="1" applyFill="1" applyBorder="1" applyAlignment="1">
      <alignment horizontal="right" vertical="center" indent="1"/>
    </xf>
    <xf numFmtId="164" fontId="14" fillId="3" borderId="20" xfId="18" applyNumberFormat="1" applyFont="1" applyFill="1" applyBorder="1" applyAlignment="1">
      <alignment horizontal="right" vertical="center" indent="1"/>
    </xf>
    <xf numFmtId="3" fontId="31" fillId="0" borderId="14" xfId="1" applyNumberFormat="1" applyFont="1" applyFill="1" applyBorder="1" applyAlignment="1">
      <alignment horizontal="right" vertical="center" indent="1" readingOrder="1"/>
    </xf>
    <xf numFmtId="3" fontId="31" fillId="0" borderId="17" xfId="1" applyNumberFormat="1" applyFont="1" applyFill="1" applyBorder="1" applyAlignment="1">
      <alignment horizontal="right" vertical="center" indent="1" readingOrder="1"/>
    </xf>
    <xf numFmtId="3" fontId="31" fillId="0" borderId="20" xfId="1" applyNumberFormat="1" applyFont="1" applyFill="1" applyBorder="1" applyAlignment="1">
      <alignment horizontal="right" vertical="center" indent="1" readingOrder="1"/>
    </xf>
    <xf numFmtId="0" fontId="31" fillId="0" borderId="15" xfId="1" applyFont="1" applyFill="1" applyBorder="1" applyAlignment="1">
      <alignment horizontal="center" vertical="center" wrapText="1" readingOrder="1"/>
    </xf>
    <xf numFmtId="0" fontId="31" fillId="0" borderId="18" xfId="1" applyFont="1" applyFill="1" applyBorder="1" applyAlignment="1">
      <alignment horizontal="center" vertical="center" wrapText="1" readingOrder="1"/>
    </xf>
    <xf numFmtId="0" fontId="32" fillId="0" borderId="13" xfId="1" applyFont="1" applyFill="1" applyBorder="1" applyAlignment="1">
      <alignment horizontal="center" vertical="center" wrapText="1" readingOrder="2"/>
    </xf>
    <xf numFmtId="0" fontId="32" fillId="0" borderId="16" xfId="1" applyFont="1" applyFill="1" applyBorder="1" applyAlignment="1">
      <alignment horizontal="center" vertical="center" wrapText="1" readingOrder="2"/>
    </xf>
    <xf numFmtId="0" fontId="32" fillId="0" borderId="19" xfId="1" applyFont="1" applyFill="1" applyBorder="1" applyAlignment="1">
      <alignment horizontal="center" vertical="center" wrapText="1" readingOrder="2"/>
    </xf>
    <xf numFmtId="0" fontId="31" fillId="0" borderId="21" xfId="1" applyFont="1" applyFill="1" applyBorder="1" applyAlignment="1">
      <alignment horizontal="center" vertical="center" wrapText="1" readingOrder="1"/>
    </xf>
    <xf numFmtId="0" fontId="32" fillId="0" borderId="13" xfId="1" applyFont="1" applyFill="1" applyBorder="1" applyAlignment="1">
      <alignment horizontal="center" wrapText="1" readingOrder="2"/>
    </xf>
    <xf numFmtId="0" fontId="31" fillId="0" borderId="15" xfId="1" applyFont="1" applyFill="1" applyBorder="1" applyAlignment="1">
      <alignment horizontal="center" wrapText="1" readingOrder="1"/>
    </xf>
    <xf numFmtId="0" fontId="32" fillId="0" borderId="16" xfId="1" applyFont="1" applyFill="1" applyBorder="1" applyAlignment="1">
      <alignment horizontal="center" wrapText="1" readingOrder="2"/>
    </xf>
    <xf numFmtId="0" fontId="31" fillId="0" borderId="18" xfId="1" applyFont="1" applyFill="1" applyBorder="1" applyAlignment="1">
      <alignment horizontal="center" wrapText="1" readingOrder="1"/>
    </xf>
    <xf numFmtId="0" fontId="32" fillId="0" borderId="19" xfId="1" applyFont="1" applyFill="1" applyBorder="1" applyAlignment="1">
      <alignment horizontal="center" wrapText="1" readingOrder="2"/>
    </xf>
    <xf numFmtId="0" fontId="31" fillId="0" borderId="21" xfId="1" applyFont="1" applyFill="1" applyBorder="1" applyAlignment="1">
      <alignment horizontal="center" wrapText="1" readingOrder="1"/>
    </xf>
    <xf numFmtId="164" fontId="14" fillId="0" borderId="11" xfId="1" applyNumberFormat="1" applyFont="1" applyFill="1" applyBorder="1" applyAlignment="1">
      <alignment horizontal="right" vertical="center" indent="1" readingOrder="1"/>
    </xf>
    <xf numFmtId="0" fontId="14" fillId="0" borderId="12" xfId="1" applyFont="1" applyFill="1" applyBorder="1" applyAlignment="1">
      <alignment horizontal="center" vertical="center" readingOrder="1"/>
    </xf>
    <xf numFmtId="0" fontId="32" fillId="0" borderId="7" xfId="1" applyFont="1" applyFill="1" applyBorder="1" applyAlignment="1">
      <alignment horizontal="center" wrapText="1" readingOrder="2"/>
    </xf>
    <xf numFmtId="0" fontId="31" fillId="0" borderId="9" xfId="1" applyFont="1" applyFill="1" applyBorder="1" applyAlignment="1">
      <alignment horizontal="center" wrapText="1" readingOrder="1"/>
    </xf>
    <xf numFmtId="0" fontId="4" fillId="3" borderId="23" xfId="1" applyFont="1" applyFill="1" applyBorder="1" applyAlignment="1">
      <alignment horizontal="center" vertical="center" wrapText="1" readingOrder="1"/>
    </xf>
    <xf numFmtId="0" fontId="15" fillId="0" borderId="7" xfId="1" applyFont="1" applyFill="1" applyBorder="1" applyAlignment="1">
      <alignment horizontal="right" vertical="center" wrapText="1" indent="1" readingOrder="2"/>
    </xf>
    <xf numFmtId="0" fontId="1" fillId="0" borderId="9"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14" fillId="6" borderId="9" xfId="1" applyFont="1" applyFill="1" applyBorder="1" applyAlignment="1">
      <alignment horizontal="center" vertical="center" wrapText="1" readingOrder="2"/>
    </xf>
    <xf numFmtId="164" fontId="14" fillId="0" borderId="8" xfId="1" applyNumberFormat="1" applyFont="1" applyFill="1" applyBorder="1" applyAlignment="1">
      <alignment horizontal="right" vertical="center" indent="1" readingOrder="1"/>
    </xf>
    <xf numFmtId="3" fontId="1" fillId="0" borderId="0" xfId="1" applyNumberFormat="1" applyFont="1"/>
    <xf numFmtId="3" fontId="31" fillId="0" borderId="38" xfId="1" applyNumberFormat="1" applyFont="1" applyFill="1" applyBorder="1" applyAlignment="1">
      <alignment horizontal="right" vertical="center" indent="1" readingOrder="1"/>
    </xf>
    <xf numFmtId="0" fontId="34" fillId="0" borderId="18" xfId="1" applyFont="1" applyFill="1" applyBorder="1" applyAlignment="1">
      <alignment horizontal="center" vertical="center" wrapText="1" readingOrder="1"/>
    </xf>
    <xf numFmtId="0" fontId="34" fillId="0" borderId="21" xfId="1" applyFont="1" applyFill="1" applyBorder="1" applyAlignment="1">
      <alignment horizontal="center" vertical="center" wrapText="1" readingOrder="1"/>
    </xf>
    <xf numFmtId="3" fontId="14" fillId="6" borderId="8" xfId="1" applyNumberFormat="1" applyFont="1" applyFill="1" applyBorder="1" applyAlignment="1">
      <alignment horizontal="right" vertical="center" indent="1" readingOrder="1"/>
    </xf>
    <xf numFmtId="3" fontId="14" fillId="6" borderId="17" xfId="1" applyNumberFormat="1" applyFont="1" applyFill="1" applyBorder="1" applyAlignment="1">
      <alignment horizontal="right" vertical="center" indent="1" readingOrder="1"/>
    </xf>
    <xf numFmtId="3" fontId="14" fillId="6" borderId="11" xfId="1" applyNumberFormat="1" applyFont="1" applyFill="1" applyBorder="1" applyAlignment="1">
      <alignment horizontal="right" vertical="center" indent="1" readingOrder="1"/>
    </xf>
    <xf numFmtId="0" fontId="1" fillId="0" borderId="0" xfId="1" applyFont="1" applyAlignment="1">
      <alignment wrapText="1"/>
    </xf>
    <xf numFmtId="0" fontId="1" fillId="0" borderId="0" xfId="1" applyFont="1" applyAlignment="1">
      <alignment horizontal="center"/>
    </xf>
    <xf numFmtId="3" fontId="31" fillId="6" borderId="8" xfId="1" applyNumberFormat="1" applyFont="1" applyFill="1" applyBorder="1" applyAlignment="1">
      <alignment horizontal="right" vertical="center" indent="1" readingOrder="1"/>
    </xf>
    <xf numFmtId="3" fontId="31" fillId="6" borderId="17" xfId="1" applyNumberFormat="1" applyFont="1" applyFill="1" applyBorder="1" applyAlignment="1">
      <alignment horizontal="right" vertical="center" indent="1" readingOrder="1"/>
    </xf>
    <xf numFmtId="3" fontId="31" fillId="3" borderId="17" xfId="1" applyNumberFormat="1" applyFont="1" applyFill="1" applyBorder="1" applyAlignment="1">
      <alignment horizontal="right" vertical="center" indent="1" readingOrder="1"/>
    </xf>
    <xf numFmtId="3" fontId="31" fillId="3" borderId="20" xfId="1" applyNumberFormat="1" applyFont="1" applyFill="1" applyBorder="1" applyAlignment="1">
      <alignment horizontal="right" vertical="center" indent="1" readingOrder="1"/>
    </xf>
    <xf numFmtId="3" fontId="31" fillId="6" borderId="18" xfId="1" applyNumberFormat="1" applyFont="1" applyFill="1" applyBorder="1" applyAlignment="1">
      <alignment horizontal="right" vertical="center" indent="1" readingOrder="1"/>
    </xf>
    <xf numFmtId="3" fontId="31" fillId="3" borderId="18" xfId="1" applyNumberFormat="1" applyFont="1" applyFill="1" applyBorder="1" applyAlignment="1">
      <alignment horizontal="right" vertical="center" indent="1" readingOrder="1"/>
    </xf>
    <xf numFmtId="3" fontId="31" fillId="3" borderId="21" xfId="1" applyNumberFormat="1" applyFont="1" applyFill="1" applyBorder="1" applyAlignment="1">
      <alignment horizontal="right" vertical="center" indent="1" readingOrder="1"/>
    </xf>
    <xf numFmtId="3" fontId="31" fillId="6" borderId="16" xfId="1" applyNumberFormat="1" applyFont="1" applyFill="1" applyBorder="1" applyAlignment="1">
      <alignment horizontal="right" vertical="center" indent="1" readingOrder="1"/>
    </xf>
    <xf numFmtId="3" fontId="31" fillId="3" borderId="16" xfId="1" applyNumberFormat="1" applyFont="1" applyFill="1" applyBorder="1" applyAlignment="1">
      <alignment horizontal="right" vertical="center" indent="1" readingOrder="1"/>
    </xf>
    <xf numFmtId="3" fontId="31" fillId="3" borderId="19" xfId="1" applyNumberFormat="1" applyFont="1" applyFill="1" applyBorder="1" applyAlignment="1">
      <alignment horizontal="right" vertical="center" indent="1" readingOrder="1"/>
    </xf>
    <xf numFmtId="3" fontId="31" fillId="6" borderId="15" xfId="1" applyNumberFormat="1" applyFont="1" applyFill="1" applyBorder="1" applyAlignment="1">
      <alignment horizontal="right" vertical="center" indent="1" readingOrder="1"/>
    </xf>
    <xf numFmtId="3" fontId="31" fillId="6" borderId="14" xfId="1" applyNumberFormat="1" applyFont="1" applyFill="1" applyBorder="1" applyAlignment="1">
      <alignment horizontal="right" vertical="center" indent="1" readingOrder="1"/>
    </xf>
    <xf numFmtId="3" fontId="31" fillId="6" borderId="13" xfId="1" applyNumberFormat="1" applyFont="1" applyFill="1" applyBorder="1" applyAlignment="1">
      <alignment horizontal="right" vertical="center" indent="1" readingOrder="1"/>
    </xf>
    <xf numFmtId="3" fontId="14" fillId="6" borderId="14" xfId="1" applyNumberFormat="1" applyFont="1" applyFill="1" applyBorder="1" applyAlignment="1">
      <alignment horizontal="right" vertical="center" indent="1" readingOrder="1"/>
    </xf>
    <xf numFmtId="3" fontId="14" fillId="0" borderId="8" xfId="16" applyNumberFormat="1" applyFont="1" applyFill="1" applyBorder="1">
      <alignment horizontal="right" vertical="center" indent="1"/>
    </xf>
    <xf numFmtId="0" fontId="4" fillId="3" borderId="10" xfId="17" applyFont="1" applyFill="1" applyBorder="1" applyAlignment="1">
      <alignment horizontal="right" vertical="center" wrapText="1" indent="1" readingOrder="2"/>
    </xf>
    <xf numFmtId="0" fontId="1" fillId="3" borderId="12" xfId="17" applyFont="1" applyFill="1" applyBorder="1" applyAlignment="1">
      <alignment horizontal="left" vertical="center" wrapText="1" indent="1" readingOrder="1"/>
    </xf>
    <xf numFmtId="3" fontId="1" fillId="0" borderId="14" xfId="18" applyNumberFormat="1" applyFont="1" applyFill="1" applyBorder="1" applyAlignment="1">
      <alignment horizontal="right" vertical="center" indent="1"/>
    </xf>
    <xf numFmtId="3" fontId="1" fillId="0" borderId="38" xfId="18" applyNumberFormat="1" applyFont="1" applyFill="1" applyBorder="1" applyAlignment="1">
      <alignment horizontal="right" vertical="center" indent="1"/>
    </xf>
    <xf numFmtId="3" fontId="1" fillId="0" borderId="8" xfId="18" applyNumberFormat="1" applyFont="1" applyFill="1" applyBorder="1">
      <alignment horizontal="right" vertical="center" indent="1"/>
    </xf>
    <xf numFmtId="3" fontId="1" fillId="0" borderId="11" xfId="18" applyNumberFormat="1" applyFont="1" applyFill="1" applyBorder="1">
      <alignment horizontal="right" vertical="center" indent="1"/>
    </xf>
    <xf numFmtId="3" fontId="1" fillId="0" borderId="13" xfId="18" applyNumberFormat="1" applyFont="1" applyFill="1" applyBorder="1" applyAlignment="1">
      <alignment horizontal="right" vertical="center" indent="1"/>
    </xf>
    <xf numFmtId="3" fontId="1" fillId="0" borderId="39" xfId="18" applyNumberFormat="1" applyFont="1" applyFill="1" applyBorder="1" applyAlignment="1">
      <alignment horizontal="right" vertical="center" indent="1"/>
    </xf>
    <xf numFmtId="3" fontId="1" fillId="0" borderId="13" xfId="18" applyNumberFormat="1" applyFont="1" applyFill="1" applyBorder="1">
      <alignment horizontal="right" vertical="center" indent="1"/>
    </xf>
    <xf numFmtId="3" fontId="1" fillId="0" borderId="15" xfId="18" applyNumberFormat="1" applyFont="1" applyFill="1" applyBorder="1">
      <alignment horizontal="right" vertical="center" indent="1"/>
    </xf>
    <xf numFmtId="3" fontId="1" fillId="0" borderId="39" xfId="18" applyNumberFormat="1" applyFont="1" applyFill="1" applyBorder="1">
      <alignment horizontal="right" vertical="center" indent="1"/>
    </xf>
    <xf numFmtId="3" fontId="1" fillId="0" borderId="38" xfId="18" applyNumberFormat="1" applyFont="1" applyFill="1" applyBorder="1">
      <alignment horizontal="right" vertical="center" indent="1"/>
    </xf>
    <xf numFmtId="3" fontId="1" fillId="0" borderId="37" xfId="18" applyNumberFormat="1" applyFont="1" applyFill="1" applyBorder="1">
      <alignment horizontal="right" vertical="center" indent="1"/>
    </xf>
    <xf numFmtId="164" fontId="14" fillId="0" borderId="28" xfId="17" applyNumberFormat="1" applyFont="1" applyFill="1" applyBorder="1" applyAlignment="1">
      <alignment horizontal="left" vertical="center" wrapText="1" indent="1"/>
    </xf>
    <xf numFmtId="164" fontId="14" fillId="0" borderId="8" xfId="18" applyNumberFormat="1" applyFont="1" applyFill="1" applyBorder="1">
      <alignment horizontal="right" vertical="center" indent="1"/>
    </xf>
    <xf numFmtId="164" fontId="14" fillId="3" borderId="11" xfId="18" applyNumberFormat="1" applyFont="1" applyFill="1" applyBorder="1">
      <alignment horizontal="right" vertical="center" indent="1"/>
    </xf>
    <xf numFmtId="3" fontId="1" fillId="0" borderId="16" xfId="18" applyNumberFormat="1" applyFont="1" applyFill="1" applyBorder="1">
      <alignment horizontal="right" vertical="center" indent="1"/>
    </xf>
    <xf numFmtId="3" fontId="1" fillId="0" borderId="18" xfId="18" applyNumberFormat="1" applyFont="1" applyFill="1" applyBorder="1">
      <alignment horizontal="right" vertical="center" indent="1"/>
    </xf>
    <xf numFmtId="3" fontId="1" fillId="0" borderId="19" xfId="18" applyNumberFormat="1" applyFont="1" applyFill="1" applyBorder="1">
      <alignment horizontal="right" vertical="center" indent="1"/>
    </xf>
    <xf numFmtId="3" fontId="1" fillId="0" borderId="20" xfId="18" applyNumberFormat="1" applyFont="1" applyFill="1" applyBorder="1">
      <alignment horizontal="right" vertical="center" indent="1"/>
    </xf>
    <xf numFmtId="3" fontId="1" fillId="0" borderId="21" xfId="18" applyNumberFormat="1" applyFont="1" applyFill="1" applyBorder="1">
      <alignment horizontal="right" vertical="center" indent="1"/>
    </xf>
    <xf numFmtId="0" fontId="4" fillId="0" borderId="10" xfId="17" applyFont="1" applyFill="1" applyBorder="1" applyAlignment="1">
      <alignment horizontal="center" vertical="center" wrapText="1" readingOrder="2"/>
    </xf>
    <xf numFmtId="164" fontId="14" fillId="0" borderId="11" xfId="18" applyNumberFormat="1" applyFont="1" applyFill="1" applyBorder="1">
      <alignment horizontal="right" vertical="center" indent="1"/>
    </xf>
    <xf numFmtId="0" fontId="14" fillId="0" borderId="12" xfId="17" applyFont="1" applyFill="1" applyBorder="1" applyAlignment="1">
      <alignment horizontal="center" vertical="center" wrapText="1" readingOrder="1"/>
    </xf>
    <xf numFmtId="3" fontId="14" fillId="3" borderId="23" xfId="17" applyNumberFormat="1" applyFont="1" applyFill="1" applyBorder="1" applyAlignment="1">
      <alignment horizontal="left" vertical="center" wrapText="1" indent="1"/>
    </xf>
    <xf numFmtId="3" fontId="14" fillId="0" borderId="9" xfId="18" applyNumberFormat="1" applyFont="1" applyFill="1" applyBorder="1">
      <alignment horizontal="right" vertical="center" indent="1"/>
    </xf>
    <xf numFmtId="0" fontId="4" fillId="0" borderId="46" xfId="17" applyFont="1" applyFill="1" applyBorder="1" applyAlignment="1">
      <alignment horizontal="center" vertical="center" wrapText="1" readingOrder="2"/>
    </xf>
    <xf numFmtId="0" fontId="4" fillId="3" borderId="47" xfId="17" applyFont="1" applyFill="1" applyBorder="1" applyAlignment="1">
      <alignment horizontal="center" vertical="center" wrapText="1" readingOrder="2"/>
    </xf>
    <xf numFmtId="0" fontId="4" fillId="0" borderId="47" xfId="17" applyFont="1" applyFill="1" applyBorder="1" applyAlignment="1">
      <alignment horizontal="center" vertical="center" wrapText="1" readingOrder="2"/>
    </xf>
    <xf numFmtId="164" fontId="14" fillId="0" borderId="7" xfId="18" applyNumberFormat="1" applyFont="1" applyFill="1" applyBorder="1">
      <alignment horizontal="right" vertical="center" indent="1"/>
    </xf>
    <xf numFmtId="164" fontId="14" fillId="3" borderId="16" xfId="18" applyNumberFormat="1" applyFont="1" applyFill="1" applyBorder="1">
      <alignment horizontal="right" vertical="center" indent="1"/>
    </xf>
    <xf numFmtId="164" fontId="14" fillId="0" borderId="16" xfId="18" applyNumberFormat="1" applyFont="1" applyFill="1" applyBorder="1">
      <alignment horizontal="right" vertical="center" indent="1"/>
    </xf>
    <xf numFmtId="0" fontId="4" fillId="3" borderId="43" xfId="17" applyFont="1" applyFill="1" applyBorder="1" applyAlignment="1">
      <alignment horizontal="center" vertical="center" wrapText="1" readingOrder="2"/>
    </xf>
    <xf numFmtId="164" fontId="14" fillId="3" borderId="19" xfId="18" applyNumberFormat="1" applyFont="1" applyFill="1" applyBorder="1">
      <alignment horizontal="right" vertical="center" indent="1"/>
    </xf>
    <xf numFmtId="3" fontId="14" fillId="0" borderId="8" xfId="17" applyNumberFormat="1" applyFont="1" applyFill="1" applyBorder="1" applyAlignment="1">
      <alignment horizontal="left" vertical="center" wrapText="1" indent="1"/>
    </xf>
    <xf numFmtId="164" fontId="14" fillId="0" borderId="8" xfId="17" applyNumberFormat="1" applyFont="1" applyFill="1" applyBorder="1" applyAlignment="1">
      <alignment horizontal="left" vertical="center" wrapText="1" indent="1"/>
    </xf>
    <xf numFmtId="3" fontId="14" fillId="0" borderId="14" xfId="17" applyNumberFormat="1" applyFont="1" applyFill="1" applyBorder="1" applyAlignment="1">
      <alignment horizontal="left" vertical="center" wrapText="1" indent="1"/>
    </xf>
    <xf numFmtId="3" fontId="34" fillId="0" borderId="14" xfId="1" applyNumberFormat="1" applyFont="1" applyFill="1" applyBorder="1" applyAlignment="1">
      <alignment horizontal="right" vertical="center" indent="1" readingOrder="1"/>
    </xf>
    <xf numFmtId="3" fontId="34" fillId="0" borderId="38" xfId="1" applyNumberFormat="1" applyFont="1" applyFill="1" applyBorder="1" applyAlignment="1">
      <alignment horizontal="right" vertical="center" indent="1" readingOrder="1"/>
    </xf>
    <xf numFmtId="0" fontId="35" fillId="0" borderId="19" xfId="17" applyFont="1" applyFill="1" applyBorder="1" applyAlignment="1">
      <alignment horizontal="center" vertical="center" wrapText="1" readingOrder="2"/>
    </xf>
    <xf numFmtId="3" fontId="34" fillId="0" borderId="20" xfId="1" applyNumberFormat="1" applyFont="1" applyFill="1" applyBorder="1" applyAlignment="1">
      <alignment horizontal="right" vertical="center" indent="1" readingOrder="1"/>
    </xf>
    <xf numFmtId="0" fontId="34" fillId="0" borderId="14" xfId="1" applyFont="1" applyFill="1" applyBorder="1" applyAlignment="1">
      <alignment horizontal="right" vertical="center" indent="1" readingOrder="1"/>
    </xf>
    <xf numFmtId="0" fontId="34" fillId="0" borderId="38" xfId="1" applyFont="1" applyFill="1" applyBorder="1" applyAlignment="1">
      <alignment horizontal="right" vertical="center" indent="1" readingOrder="1"/>
    </xf>
    <xf numFmtId="0" fontId="36" fillId="0" borderId="13" xfId="1" applyFont="1" applyFill="1" applyBorder="1" applyAlignment="1">
      <alignment horizontal="right" vertical="center" wrapText="1" indent="1" readingOrder="2"/>
    </xf>
    <xf numFmtId="0" fontId="15" fillId="0" borderId="13" xfId="1" applyFont="1" applyFill="1" applyBorder="1" applyAlignment="1">
      <alignment horizontal="right" vertical="center" indent="1" readingOrder="1"/>
    </xf>
    <xf numFmtId="0" fontId="36" fillId="0" borderId="13" xfId="1" applyFont="1" applyFill="1" applyBorder="1" applyAlignment="1">
      <alignment horizontal="right" vertical="center" indent="1" readingOrder="1"/>
    </xf>
    <xf numFmtId="3" fontId="34" fillId="0" borderId="13" xfId="1" applyNumberFormat="1" applyFont="1" applyFill="1" applyBorder="1" applyAlignment="1">
      <alignment horizontal="right" vertical="center" indent="1" readingOrder="1"/>
    </xf>
    <xf numFmtId="3" fontId="34" fillId="0" borderId="39" xfId="1" applyNumberFormat="1" applyFont="1" applyFill="1" applyBorder="1" applyAlignment="1">
      <alignment horizontal="right" vertical="center" indent="1" readingOrder="1"/>
    </xf>
    <xf numFmtId="3" fontId="1" fillId="0" borderId="7" xfId="1" applyNumberFormat="1" applyFont="1" applyFill="1" applyBorder="1" applyAlignment="1">
      <alignment horizontal="right" vertical="center" indent="1" readingOrder="1"/>
    </xf>
    <xf numFmtId="0" fontId="14" fillId="6" borderId="45" xfId="17" applyFont="1" applyFill="1" applyBorder="1" applyAlignment="1">
      <alignment horizontal="center" vertical="center" wrapText="1" readingOrder="2"/>
    </xf>
    <xf numFmtId="3" fontId="14" fillId="6" borderId="38" xfId="17" applyNumberFormat="1" applyFont="1" applyFill="1" applyBorder="1" applyAlignment="1">
      <alignment horizontal="left" vertical="center" wrapText="1" indent="1" readingOrder="1"/>
    </xf>
    <xf numFmtId="164" fontId="14" fillId="6" borderId="27" xfId="17" applyNumberFormat="1" applyFont="1" applyFill="1" applyBorder="1" applyAlignment="1">
      <alignment horizontal="left" vertical="center" wrapText="1" indent="1" readingOrder="1"/>
    </xf>
    <xf numFmtId="0" fontId="34" fillId="0" borderId="13" xfId="1" applyFont="1" applyFill="1" applyBorder="1" applyAlignment="1">
      <alignment horizontal="right" vertical="center" indent="1" readingOrder="1"/>
    </xf>
    <xf numFmtId="0" fontId="34" fillId="0" borderId="39" xfId="1" applyFont="1" applyFill="1" applyBorder="1" applyAlignment="1">
      <alignment horizontal="right" vertical="center" indent="1" readingOrder="1"/>
    </xf>
    <xf numFmtId="164" fontId="14" fillId="3" borderId="18" xfId="1" applyNumberFormat="1" applyFont="1" applyFill="1" applyBorder="1" applyAlignment="1">
      <alignment horizontal="right" vertical="center" indent="1" readingOrder="1"/>
    </xf>
    <xf numFmtId="164" fontId="14" fillId="0" borderId="18" xfId="1" applyNumberFormat="1" applyFont="1" applyFill="1" applyBorder="1" applyAlignment="1">
      <alignment horizontal="right" vertical="center" indent="1" readingOrder="1"/>
    </xf>
    <xf numFmtId="0" fontId="1" fillId="0" borderId="7" xfId="1" applyFont="1" applyFill="1" applyBorder="1" applyAlignment="1">
      <alignment horizontal="right" vertical="center" indent="1" readingOrder="1"/>
    </xf>
    <xf numFmtId="0" fontId="1" fillId="0" borderId="8" xfId="1" applyFont="1" applyFill="1" applyBorder="1" applyAlignment="1">
      <alignment horizontal="right" vertical="center" indent="1" readingOrder="1"/>
    </xf>
    <xf numFmtId="0" fontId="14" fillId="0" borderId="9" xfId="1" applyFont="1" applyFill="1" applyBorder="1" applyAlignment="1">
      <alignment horizontal="right" vertical="center" indent="1" readingOrder="1"/>
    </xf>
    <xf numFmtId="164" fontId="14" fillId="0" borderId="9" xfId="1" applyNumberFormat="1" applyFont="1" applyFill="1" applyBorder="1" applyAlignment="1">
      <alignment horizontal="right" vertical="center" indent="1" readingOrder="1"/>
    </xf>
    <xf numFmtId="0" fontId="34" fillId="0" borderId="40" xfId="1" applyFont="1" applyFill="1" applyBorder="1" applyAlignment="1">
      <alignment horizontal="right" vertical="center" indent="1" readingOrder="1"/>
    </xf>
    <xf numFmtId="0" fontId="34" fillId="0" borderId="28" xfId="1" applyFont="1" applyFill="1" applyBorder="1" applyAlignment="1">
      <alignment horizontal="right" vertical="center" indent="1" readingOrder="1"/>
    </xf>
    <xf numFmtId="164" fontId="14" fillId="3" borderId="12" xfId="1" applyNumberFormat="1" applyFont="1" applyFill="1" applyBorder="1" applyAlignment="1">
      <alignment horizontal="right" vertical="center" indent="1" readingOrder="1"/>
    </xf>
    <xf numFmtId="0" fontId="1" fillId="3" borderId="12" xfId="1" applyFont="1" applyFill="1" applyBorder="1" applyAlignment="1">
      <alignment horizontal="left" vertical="center" wrapText="1" indent="1" readingOrder="1"/>
    </xf>
    <xf numFmtId="0" fontId="4" fillId="6" borderId="45" xfId="1" applyFont="1" applyFill="1" applyBorder="1" applyAlignment="1">
      <alignment horizontal="center" vertical="center" readingOrder="2"/>
    </xf>
    <xf numFmtId="0" fontId="14" fillId="6" borderId="44" xfId="1" applyFont="1" applyFill="1" applyBorder="1" applyAlignment="1">
      <alignment horizontal="center" vertical="center" readingOrder="1"/>
    </xf>
    <xf numFmtId="3" fontId="14" fillId="6" borderId="27" xfId="17" applyNumberFormat="1" applyFont="1" applyFill="1" applyBorder="1" applyAlignment="1">
      <alignment horizontal="left" vertical="center" wrapText="1" indent="1" readingOrder="1"/>
    </xf>
    <xf numFmtId="164" fontId="14" fillId="6" borderId="38" xfId="17" applyNumberFormat="1" applyFont="1" applyFill="1" applyBorder="1" applyAlignment="1">
      <alignment horizontal="left" vertical="center" wrapText="1" indent="1" readingOrder="1"/>
    </xf>
    <xf numFmtId="164" fontId="14" fillId="0" borderId="13" xfId="1" applyNumberFormat="1" applyFont="1" applyFill="1" applyBorder="1" applyAlignment="1">
      <alignment horizontal="right" vertical="center" indent="1" readingOrder="1"/>
    </xf>
    <xf numFmtId="164" fontId="14" fillId="3" borderId="16" xfId="1" applyNumberFormat="1" applyFont="1" applyFill="1" applyBorder="1" applyAlignment="1">
      <alignment horizontal="right" vertical="center" indent="1" readingOrder="1"/>
    </xf>
    <xf numFmtId="164" fontId="14" fillId="0" borderId="7" xfId="1" applyNumberFormat="1" applyFont="1" applyFill="1" applyBorder="1" applyAlignment="1">
      <alignment horizontal="right" vertical="center" indent="1" readingOrder="1"/>
    </xf>
    <xf numFmtId="164" fontId="14" fillId="0" borderId="40" xfId="1" applyNumberFormat="1" applyFont="1" applyFill="1" applyBorder="1" applyAlignment="1">
      <alignment horizontal="right" vertical="center" indent="1" readingOrder="1"/>
    </xf>
    <xf numFmtId="0" fontId="37" fillId="0" borderId="38" xfId="1" applyFont="1" applyFill="1" applyBorder="1" applyAlignment="1">
      <alignment horizontal="right" vertical="center" indent="1" readingOrder="1"/>
    </xf>
    <xf numFmtId="0" fontId="36" fillId="0" borderId="38" xfId="1" applyFont="1" applyFill="1" applyBorder="1" applyAlignment="1">
      <alignment horizontal="right" vertical="center" indent="1" readingOrder="1"/>
    </xf>
    <xf numFmtId="0" fontId="1" fillId="0" borderId="15" xfId="1" applyFont="1" applyFill="1" applyBorder="1" applyAlignment="1">
      <alignment horizontal="right" vertical="center" indent="1" readingOrder="1"/>
    </xf>
    <xf numFmtId="0" fontId="1" fillId="0" borderId="0" xfId="1" applyAlignment="1">
      <alignment horizontal="left"/>
    </xf>
    <xf numFmtId="0" fontId="4" fillId="6" borderId="7" xfId="1" applyFont="1" applyFill="1" applyBorder="1" applyAlignment="1">
      <alignment horizontal="center" vertical="center" wrapText="1" readingOrder="2"/>
    </xf>
    <xf numFmtId="0" fontId="4" fillId="6" borderId="7" xfId="1" applyFont="1" applyFill="1" applyBorder="1" applyAlignment="1">
      <alignment horizontal="center" vertical="center" readingOrder="2"/>
    </xf>
    <xf numFmtId="1" fontId="14" fillId="6" borderId="8" xfId="1" applyNumberFormat="1" applyFont="1" applyFill="1" applyBorder="1" applyAlignment="1">
      <alignment horizontal="right" vertical="center" indent="1" readingOrder="1"/>
    </xf>
    <xf numFmtId="0" fontId="14" fillId="6" borderId="9" xfId="1" applyFont="1" applyFill="1" applyBorder="1" applyAlignment="1">
      <alignment horizontal="center" vertical="center" readingOrder="1"/>
    </xf>
    <xf numFmtId="164" fontId="14" fillId="6" borderId="8" xfId="1" applyNumberFormat="1" applyFont="1" applyFill="1" applyBorder="1" applyAlignment="1">
      <alignment horizontal="right" vertical="center" indent="1" readingOrder="1"/>
    </xf>
    <xf numFmtId="164" fontId="14" fillId="6" borderId="17" xfId="1" applyNumberFormat="1" applyFont="1" applyFill="1" applyBorder="1" applyAlignment="1">
      <alignment horizontal="right" vertical="center" indent="1" readingOrder="1"/>
    </xf>
    <xf numFmtId="0" fontId="31" fillId="6" borderId="8" xfId="1" applyFont="1" applyFill="1" applyBorder="1" applyAlignment="1">
      <alignment horizontal="left" vertical="center" wrapText="1" indent="1" readingOrder="1"/>
    </xf>
    <xf numFmtId="0" fontId="31" fillId="3" borderId="17" xfId="1" applyFont="1" applyFill="1" applyBorder="1" applyAlignment="1">
      <alignment horizontal="left" vertical="center" wrapText="1" indent="1" readingOrder="1"/>
    </xf>
    <xf numFmtId="0" fontId="31" fillId="6" borderId="17" xfId="1" applyFont="1" applyFill="1" applyBorder="1" applyAlignment="1">
      <alignment horizontal="left" vertical="center" wrapText="1" indent="1" readingOrder="1"/>
    </xf>
    <xf numFmtId="0" fontId="31" fillId="3" borderId="20" xfId="1" applyFont="1" applyFill="1" applyBorder="1" applyAlignment="1">
      <alignment horizontal="left" vertical="center" wrapText="1" indent="1" readingOrder="1"/>
    </xf>
    <xf numFmtId="1" fontId="1" fillId="0" borderId="0" xfId="1" applyNumberFormat="1"/>
    <xf numFmtId="0" fontId="14" fillId="6" borderId="8" xfId="1" applyFont="1" applyFill="1" applyBorder="1" applyAlignment="1">
      <alignment horizontal="right" vertical="center" indent="1" readingOrder="1"/>
    </xf>
    <xf numFmtId="0" fontId="14" fillId="6" borderId="14" xfId="1" applyFont="1" applyFill="1" applyBorder="1" applyAlignment="1">
      <alignment horizontal="right" vertical="center" indent="1" readingOrder="1"/>
    </xf>
    <xf numFmtId="0" fontId="1" fillId="6" borderId="15" xfId="1" applyFont="1" applyFill="1" applyBorder="1" applyAlignment="1">
      <alignment horizontal="left" vertical="center" wrapText="1" indent="1" readingOrder="1"/>
    </xf>
    <xf numFmtId="0" fontId="1" fillId="6" borderId="14" xfId="1" applyFont="1" applyFill="1" applyBorder="1" applyAlignment="1">
      <alignment horizontal="left" vertical="center" wrapText="1" indent="1" readingOrder="1"/>
    </xf>
    <xf numFmtId="0" fontId="1" fillId="3" borderId="17" xfId="1" applyFont="1" applyFill="1" applyBorder="1" applyAlignment="1">
      <alignment horizontal="left" vertical="center" wrapText="1" indent="1" readingOrder="1"/>
    </xf>
    <xf numFmtId="0" fontId="1" fillId="6" borderId="17" xfId="1" applyFont="1" applyFill="1" applyBorder="1" applyAlignment="1">
      <alignment horizontal="left" vertical="center" wrapText="1" indent="1" readingOrder="1"/>
    </xf>
    <xf numFmtId="0" fontId="1" fillId="3" borderId="20" xfId="1" applyFont="1" applyFill="1" applyBorder="1" applyAlignment="1">
      <alignment horizontal="left" vertical="center" wrapText="1" indent="1" readingOrder="1"/>
    </xf>
    <xf numFmtId="0" fontId="1" fillId="6" borderId="8" xfId="1" applyFont="1" applyFill="1" applyBorder="1" applyAlignment="1">
      <alignment horizontal="left" vertical="center" wrapText="1" indent="1" readingOrder="1"/>
    </xf>
    <xf numFmtId="0" fontId="1" fillId="0" borderId="37" xfId="1" applyFont="1" applyFill="1" applyBorder="1" applyAlignment="1">
      <alignment horizontal="right" vertical="center" indent="1" readingOrder="1"/>
    </xf>
    <xf numFmtId="0" fontId="1" fillId="0" borderId="38" xfId="1" applyFont="1" applyFill="1" applyBorder="1" applyAlignment="1">
      <alignment horizontal="right" vertical="center" indent="1" readingOrder="1"/>
    </xf>
    <xf numFmtId="0" fontId="4" fillId="3" borderId="45" xfId="1" applyFont="1" applyFill="1" applyBorder="1" applyAlignment="1">
      <alignment horizontal="center" vertical="center" readingOrder="2"/>
    </xf>
    <xf numFmtId="0" fontId="14" fillId="3" borderId="38" xfId="1" applyFont="1" applyFill="1" applyBorder="1" applyAlignment="1">
      <alignment horizontal="right" vertical="center" indent="1" readingOrder="1"/>
    </xf>
    <xf numFmtId="164" fontId="14" fillId="3" borderId="27" xfId="1" applyNumberFormat="1" applyFont="1" applyFill="1" applyBorder="1" applyAlignment="1">
      <alignment horizontal="right" vertical="center" indent="1" readingOrder="1"/>
    </xf>
    <xf numFmtId="0" fontId="14" fillId="3" borderId="44" xfId="1" applyFont="1" applyFill="1" applyBorder="1" applyAlignment="1">
      <alignment horizontal="center" vertical="center" readingOrder="1"/>
    </xf>
    <xf numFmtId="0" fontId="1" fillId="0" borderId="42" xfId="1" applyFont="1" applyFill="1" applyBorder="1" applyAlignment="1">
      <alignment horizontal="right" vertical="center" indent="1" readingOrder="1"/>
    </xf>
    <xf numFmtId="0" fontId="1" fillId="0" borderId="0" xfId="1" applyFont="1" applyFill="1" applyBorder="1" applyAlignment="1">
      <alignment horizontal="right" vertical="center" indent="1" readingOrder="1"/>
    </xf>
    <xf numFmtId="0" fontId="14" fillId="0" borderId="42" xfId="1" applyFont="1" applyFill="1" applyBorder="1" applyAlignment="1">
      <alignment horizontal="right" vertical="center" indent="1" readingOrder="1"/>
    </xf>
    <xf numFmtId="0" fontId="1" fillId="0" borderId="46" xfId="1" applyFont="1" applyFill="1" applyBorder="1" applyAlignment="1">
      <alignment horizontal="right" vertical="center" indent="1" readingOrder="1"/>
    </xf>
    <xf numFmtId="0" fontId="14" fillId="0" borderId="46" xfId="1" applyFont="1" applyFill="1" applyBorder="1" applyAlignment="1">
      <alignment horizontal="right" vertical="center" indent="1" readingOrder="1"/>
    </xf>
    <xf numFmtId="0" fontId="1" fillId="0" borderId="26" xfId="1" applyFont="1" applyFill="1" applyBorder="1" applyAlignment="1">
      <alignment horizontal="right" vertical="center" indent="1" readingOrder="1"/>
    </xf>
    <xf numFmtId="0" fontId="1" fillId="0" borderId="28" xfId="1" applyFont="1" applyFill="1" applyBorder="1" applyAlignment="1">
      <alignment horizontal="right" vertical="center" indent="1" readingOrder="1"/>
    </xf>
    <xf numFmtId="164" fontId="14" fillId="0" borderId="16" xfId="1" applyNumberFormat="1" applyFont="1" applyFill="1" applyBorder="1" applyAlignment="1">
      <alignment horizontal="right" vertical="center" indent="1" readingOrder="1"/>
    </xf>
    <xf numFmtId="164" fontId="14" fillId="0" borderId="10" xfId="1" applyNumberFormat="1" applyFont="1" applyFill="1" applyBorder="1" applyAlignment="1">
      <alignment horizontal="right" vertical="center" indent="1" readingOrder="1"/>
    </xf>
    <xf numFmtId="3" fontId="14" fillId="6" borderId="15" xfId="1" applyNumberFormat="1" applyFont="1" applyFill="1" applyBorder="1" applyAlignment="1">
      <alignment horizontal="right" vertical="center" indent="1" readingOrder="1"/>
    </xf>
    <xf numFmtId="49" fontId="4" fillId="6" borderId="40" xfId="1" applyNumberFormat="1" applyFont="1" applyFill="1" applyBorder="1" applyAlignment="1">
      <alignment horizontal="center" vertical="center" readingOrder="2"/>
    </xf>
    <xf numFmtId="3" fontId="14" fillId="6" borderId="28" xfId="1" applyNumberFormat="1" applyFont="1" applyFill="1" applyBorder="1" applyAlignment="1">
      <alignment horizontal="right" vertical="center" indent="1" readingOrder="1"/>
    </xf>
    <xf numFmtId="3" fontId="39" fillId="0" borderId="14" xfId="1" applyNumberFormat="1" applyFont="1" applyFill="1" applyBorder="1" applyAlignment="1">
      <alignment horizontal="right" vertical="center" indent="1" readingOrder="1"/>
    </xf>
    <xf numFmtId="0" fontId="14" fillId="0" borderId="24" xfId="1" applyFont="1" applyFill="1" applyBorder="1" applyAlignment="1">
      <alignment horizontal="left" vertical="center" wrapText="1" indent="1" readingOrder="1"/>
    </xf>
    <xf numFmtId="3" fontId="39" fillId="0" borderId="14" xfId="1" applyNumberFormat="1" applyFont="1" applyFill="1" applyBorder="1" applyAlignment="1">
      <alignment horizontal="right" indent="1"/>
    </xf>
    <xf numFmtId="3" fontId="40" fillId="0" borderId="14" xfId="1" applyNumberFormat="1" applyFont="1" applyFill="1" applyBorder="1" applyAlignment="1">
      <alignment horizontal="right" vertical="center" indent="1" readingOrder="1"/>
    </xf>
    <xf numFmtId="164" fontId="14" fillId="3" borderId="8" xfId="1" applyNumberFormat="1" applyFont="1" applyFill="1" applyBorder="1" applyAlignment="1">
      <alignment horizontal="right" vertical="center" indent="1" readingOrder="1"/>
    </xf>
    <xf numFmtId="3" fontId="31" fillId="6" borderId="7" xfId="1" applyNumberFormat="1" applyFont="1" applyFill="1" applyBorder="1" applyAlignment="1">
      <alignment horizontal="right" vertical="center" indent="1" readingOrder="1"/>
    </xf>
    <xf numFmtId="0" fontId="1" fillId="0" borderId="0" xfId="1" applyFill="1"/>
    <xf numFmtId="0" fontId="34" fillId="0" borderId="17" xfId="1" applyFont="1" applyFill="1" applyBorder="1" applyAlignment="1">
      <alignment horizontal="right" vertical="center" indent="1" readingOrder="1"/>
    </xf>
    <xf numFmtId="0" fontId="34" fillId="0" borderId="20" xfId="1" applyFont="1" applyFill="1" applyBorder="1" applyAlignment="1">
      <alignment horizontal="right" vertical="center" indent="1" readingOrder="1"/>
    </xf>
    <xf numFmtId="3" fontId="14" fillId="0" borderId="15" xfId="1" applyNumberFormat="1" applyFont="1" applyFill="1" applyBorder="1" applyAlignment="1">
      <alignment horizontal="right" vertical="center" indent="1" readingOrder="1"/>
    </xf>
    <xf numFmtId="3" fontId="39" fillId="6" borderId="9" xfId="1" applyNumberFormat="1" applyFont="1" applyFill="1" applyBorder="1" applyAlignment="1">
      <alignment horizontal="right" vertical="center" indent="1" readingOrder="1"/>
    </xf>
    <xf numFmtId="49" fontId="4" fillId="6" borderId="22" xfId="1" applyNumberFormat="1" applyFont="1" applyFill="1" applyBorder="1" applyAlignment="1">
      <alignment horizontal="center" vertical="center" readingOrder="2"/>
    </xf>
    <xf numFmtId="3" fontId="14" fillId="6" borderId="23" xfId="1" applyNumberFormat="1" applyFont="1" applyFill="1" applyBorder="1" applyAlignment="1">
      <alignment horizontal="right" vertical="center" indent="1" readingOrder="1"/>
    </xf>
    <xf numFmtId="3" fontId="31" fillId="0" borderId="17" xfId="1" applyNumberFormat="1" applyFont="1" applyBorder="1" applyAlignment="1">
      <alignment horizontal="right" vertical="center" indent="1" readingOrder="1"/>
    </xf>
    <xf numFmtId="0" fontId="14" fillId="0" borderId="0" xfId="1" applyFont="1" applyAlignment="1">
      <alignment readingOrder="1"/>
    </xf>
    <xf numFmtId="3" fontId="1" fillId="0" borderId="0" xfId="1" applyNumberFormat="1" applyFont="1" applyBorder="1"/>
    <xf numFmtId="0" fontId="1" fillId="0" borderId="33" xfId="1" applyFont="1" applyBorder="1"/>
    <xf numFmtId="0" fontId="1" fillId="0" borderId="0" xfId="1" applyFont="1" applyBorder="1"/>
    <xf numFmtId="0" fontId="1" fillId="0" borderId="32" xfId="1" applyFont="1" applyBorder="1"/>
    <xf numFmtId="0" fontId="7" fillId="3" borderId="23" xfId="1" applyFont="1" applyFill="1" applyBorder="1" applyAlignment="1">
      <alignment horizontal="center" vertical="center" wrapText="1"/>
    </xf>
    <xf numFmtId="0" fontId="14" fillId="3" borderId="23" xfId="1" applyFont="1" applyFill="1" applyBorder="1" applyAlignment="1">
      <alignment horizontal="center" vertical="center" wrapText="1" readingOrder="1"/>
    </xf>
    <xf numFmtId="0" fontId="4" fillId="3" borderId="27"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3" fontId="31" fillId="0" borderId="8" xfId="18" applyNumberFormat="1" applyFont="1" applyFill="1" applyBorder="1" applyAlignment="1">
      <alignment horizontal="right" vertical="center" indent="1"/>
    </xf>
    <xf numFmtId="3" fontId="39" fillId="0" borderId="8" xfId="16" applyNumberFormat="1" applyFont="1" applyFill="1" applyBorder="1" applyAlignment="1">
      <alignment horizontal="right" vertical="center" indent="1"/>
    </xf>
    <xf numFmtId="0" fontId="15" fillId="3" borderId="23" xfId="1" applyFont="1" applyFill="1" applyBorder="1" applyAlignment="1">
      <alignment horizontal="center" vertical="center" wrapText="1" readingOrder="1"/>
    </xf>
    <xf numFmtId="0" fontId="4" fillId="3" borderId="23" xfId="1" applyFont="1" applyFill="1" applyBorder="1" applyAlignment="1">
      <alignment horizontal="center" vertical="center" wrapText="1" readingOrder="2"/>
    </xf>
    <xf numFmtId="0" fontId="14" fillId="3" borderId="27" xfId="1" applyFont="1" applyFill="1" applyBorder="1" applyAlignment="1">
      <alignment horizontal="center" vertical="center" wrapText="1" readingOrder="1"/>
    </xf>
    <xf numFmtId="0" fontId="15" fillId="3" borderId="27" xfId="1" applyFont="1" applyFill="1" applyBorder="1" applyAlignment="1">
      <alignment horizontal="center" vertical="center" wrapText="1" readingOrder="2"/>
    </xf>
    <xf numFmtId="0" fontId="15" fillId="3" borderId="23" xfId="1" applyFont="1" applyFill="1" applyBorder="1" applyAlignment="1">
      <alignment horizontal="center" vertical="center" wrapText="1" readingOrder="2"/>
    </xf>
    <xf numFmtId="0" fontId="14" fillId="3" borderId="27" xfId="1" applyFont="1" applyFill="1" applyBorder="1" applyAlignment="1">
      <alignment horizontal="center" wrapText="1" readingOrder="2"/>
    </xf>
    <xf numFmtId="0" fontId="14" fillId="3" borderId="27" xfId="1" applyFont="1" applyFill="1" applyBorder="1" applyAlignment="1">
      <alignment horizontal="center" wrapText="1" readingOrder="1"/>
    </xf>
    <xf numFmtId="49" fontId="14" fillId="3" borderId="27" xfId="1" applyNumberFormat="1" applyFont="1" applyFill="1" applyBorder="1" applyAlignment="1">
      <alignment horizontal="center" wrapText="1" readingOrder="1"/>
    </xf>
    <xf numFmtId="0" fontId="14" fillId="3" borderId="23" xfId="1" applyFont="1" applyFill="1" applyBorder="1" applyAlignment="1">
      <alignment horizontal="center" vertical="center" wrapText="1"/>
    </xf>
    <xf numFmtId="0" fontId="15" fillId="3" borderId="23" xfId="1" applyFont="1" applyFill="1" applyBorder="1" applyAlignment="1">
      <alignment horizontal="center" vertical="center" wrapText="1"/>
    </xf>
    <xf numFmtId="0" fontId="15" fillId="3" borderId="38" xfId="1" applyFont="1" applyFill="1" applyBorder="1" applyAlignment="1">
      <alignment horizontal="center" vertical="center" wrapText="1" readingOrder="1"/>
    </xf>
    <xf numFmtId="3" fontId="1" fillId="0" borderId="8" xfId="1" applyNumberFormat="1" applyFont="1" applyFill="1" applyBorder="1" applyAlignment="1">
      <alignment horizontal="right" vertical="center" indent="1"/>
    </xf>
    <xf numFmtId="3" fontId="1" fillId="0" borderId="17" xfId="1" applyNumberFormat="1" applyFont="1" applyFill="1" applyBorder="1" applyAlignment="1">
      <alignment horizontal="right" vertical="center" indent="1"/>
    </xf>
    <xf numFmtId="3" fontId="1" fillId="0" borderId="20" xfId="1" applyNumberFormat="1" applyFont="1" applyFill="1" applyBorder="1" applyAlignment="1">
      <alignment horizontal="right" vertical="center" indent="1"/>
    </xf>
    <xf numFmtId="3" fontId="31" fillId="0" borderId="14" xfId="1" applyNumberFormat="1" applyFont="1" applyFill="1" applyBorder="1" applyAlignment="1">
      <alignment horizontal="right" vertical="center" indent="1"/>
    </xf>
    <xf numFmtId="3" fontId="39" fillId="0" borderId="14" xfId="1" applyNumberFormat="1" applyFont="1" applyFill="1" applyBorder="1" applyAlignment="1">
      <alignment horizontal="right" vertical="center" indent="1"/>
    </xf>
    <xf numFmtId="3" fontId="31" fillId="0" borderId="17" xfId="1" applyNumberFormat="1" applyFont="1" applyFill="1" applyBorder="1" applyAlignment="1">
      <alignment horizontal="right" vertical="center" indent="1"/>
    </xf>
    <xf numFmtId="3" fontId="31" fillId="0" borderId="20" xfId="1" applyNumberFormat="1" applyFont="1" applyFill="1" applyBorder="1" applyAlignment="1">
      <alignment horizontal="right" vertical="center" indent="1"/>
    </xf>
    <xf numFmtId="3" fontId="31" fillId="0" borderId="8" xfId="1" applyNumberFormat="1" applyFont="1" applyFill="1" applyBorder="1" applyAlignment="1">
      <alignment horizontal="right" vertical="center" indent="1"/>
    </xf>
    <xf numFmtId="164" fontId="39" fillId="0" borderId="14" xfId="1" applyNumberFormat="1" applyFont="1" applyFill="1" applyBorder="1" applyAlignment="1">
      <alignment horizontal="right" vertical="center" indent="1"/>
    </xf>
    <xf numFmtId="164" fontId="39" fillId="0" borderId="17" xfId="1" applyNumberFormat="1" applyFont="1" applyFill="1" applyBorder="1" applyAlignment="1">
      <alignment horizontal="right" vertical="center" indent="1"/>
    </xf>
    <xf numFmtId="3" fontId="31" fillId="0" borderId="15" xfId="1" applyNumberFormat="1" applyFont="1" applyFill="1" applyBorder="1" applyAlignment="1">
      <alignment horizontal="right" vertical="center" indent="1"/>
    </xf>
    <xf numFmtId="3" fontId="31" fillId="0" borderId="18" xfId="1" applyNumberFormat="1" applyFont="1" applyFill="1" applyBorder="1" applyAlignment="1">
      <alignment horizontal="right" vertical="center" indent="1"/>
    </xf>
    <xf numFmtId="3" fontId="31" fillId="0" borderId="21" xfId="1" applyNumberFormat="1" applyFont="1" applyFill="1" applyBorder="1" applyAlignment="1">
      <alignment horizontal="right" vertical="center" indent="1"/>
    </xf>
    <xf numFmtId="0" fontId="1" fillId="0" borderId="0" xfId="1" applyFont="1" applyAlignment="1">
      <alignment horizontal="right" indent="1"/>
    </xf>
    <xf numFmtId="3" fontId="14" fillId="0" borderId="28" xfId="17" applyNumberFormat="1" applyFont="1" applyFill="1" applyBorder="1" applyAlignment="1">
      <alignment horizontal="right" vertical="center" indent="1" readingOrder="1"/>
    </xf>
    <xf numFmtId="0" fontId="7" fillId="3" borderId="23" xfId="1" applyFont="1" applyFill="1" applyBorder="1" applyAlignment="1">
      <alignment horizontal="center" vertical="center" wrapText="1"/>
    </xf>
    <xf numFmtId="164" fontId="39" fillId="0" borderId="20" xfId="1" applyNumberFormat="1" applyFont="1" applyFill="1" applyBorder="1" applyAlignment="1">
      <alignment horizontal="right" vertical="center" indent="1"/>
    </xf>
    <xf numFmtId="0" fontId="4" fillId="0" borderId="0" xfId="4" applyFont="1" applyAlignment="1">
      <alignment horizontal="center"/>
    </xf>
    <xf numFmtId="0" fontId="4" fillId="6" borderId="0" xfId="4" applyFont="1" applyFill="1" applyBorder="1" applyAlignment="1">
      <alignment horizontal="center" readingOrder="1"/>
    </xf>
    <xf numFmtId="0" fontId="4" fillId="6" borderId="0" xfId="14" applyFill="1" applyBorder="1" applyAlignment="1">
      <alignment vertical="center"/>
    </xf>
    <xf numFmtId="0" fontId="1" fillId="6" borderId="0" xfId="1" applyFill="1" applyBorder="1"/>
    <xf numFmtId="164" fontId="1" fillId="6" borderId="0" xfId="1" applyNumberFormat="1" applyFill="1" applyBorder="1"/>
    <xf numFmtId="0" fontId="14" fillId="6" borderId="0" xfId="14" applyFont="1" applyFill="1" applyBorder="1" applyAlignment="1">
      <alignment vertical="center"/>
    </xf>
    <xf numFmtId="0" fontId="4" fillId="6" borderId="0" xfId="4" applyFont="1" applyFill="1" applyAlignment="1">
      <alignment horizontal="center"/>
    </xf>
    <xf numFmtId="0" fontId="4" fillId="6" borderId="0" xfId="14" applyFont="1" applyFill="1" applyAlignment="1">
      <alignment vertical="center"/>
    </xf>
    <xf numFmtId="0" fontId="19" fillId="6" borderId="0" xfId="1" applyFont="1" applyFill="1" applyAlignment="1">
      <alignment horizontal="right"/>
    </xf>
    <xf numFmtId="0" fontId="19" fillId="6" borderId="0" xfId="1" applyFont="1" applyFill="1"/>
    <xf numFmtId="0" fontId="14" fillId="6" borderId="0" xfId="15" applyFont="1" applyFill="1" applyBorder="1">
      <alignment horizontal="left" vertical="center"/>
    </xf>
    <xf numFmtId="0" fontId="4" fillId="6" borderId="0" xfId="14" applyFont="1" applyFill="1">
      <alignment horizontal="right" vertical="center"/>
    </xf>
    <xf numFmtId="0" fontId="23" fillId="6" borderId="0" xfId="1" applyFont="1" applyFill="1"/>
    <xf numFmtId="0" fontId="1" fillId="6" borderId="0" xfId="15" applyFill="1" applyBorder="1" applyAlignment="1">
      <alignment vertical="center"/>
    </xf>
    <xf numFmtId="0" fontId="14" fillId="6" borderId="0" xfId="15" applyFont="1" applyFill="1" applyBorder="1" applyAlignment="1">
      <alignment vertical="center"/>
    </xf>
    <xf numFmtId="0" fontId="4" fillId="6" borderId="0" xfId="1" applyFont="1" applyFill="1" applyAlignment="1">
      <alignment horizontal="right"/>
    </xf>
    <xf numFmtId="0" fontId="1" fillId="6" borderId="0" xfId="15" applyFont="1" applyFill="1" applyBorder="1" applyAlignment="1">
      <alignment vertical="center"/>
    </xf>
    <xf numFmtId="0" fontId="4" fillId="6" borderId="0" xfId="4" applyFont="1" applyFill="1" applyAlignment="1">
      <alignment horizontal="center" vertical="center"/>
    </xf>
    <xf numFmtId="0" fontId="4" fillId="6" borderId="0" xfId="1" applyFont="1" applyFill="1" applyAlignment="1">
      <alignment horizontal="right" vertical="center" readingOrder="2"/>
    </xf>
    <xf numFmtId="0" fontId="14" fillId="6" borderId="0" xfId="1" applyFont="1" applyFill="1" applyAlignment="1">
      <alignment vertical="center"/>
    </xf>
    <xf numFmtId="0" fontId="14" fillId="6" borderId="0" xfId="1" applyFont="1" applyFill="1" applyAlignment="1">
      <alignment horizontal="left" vertical="center" readingOrder="1"/>
    </xf>
    <xf numFmtId="0" fontId="4" fillId="6" borderId="0" xfId="1" applyFont="1" applyFill="1" applyAlignment="1">
      <alignment horizontal="center" vertical="center" readingOrder="2"/>
    </xf>
    <xf numFmtId="0" fontId="1" fillId="6" borderId="0" xfId="1" applyFill="1" applyAlignment="1">
      <alignment vertical="center"/>
    </xf>
    <xf numFmtId="0" fontId="1" fillId="6" borderId="0" xfId="1" applyFont="1" applyFill="1" applyAlignment="1">
      <alignment vertical="center"/>
    </xf>
    <xf numFmtId="0" fontId="1" fillId="6" borderId="0" xfId="1" applyFont="1" applyFill="1" applyAlignment="1">
      <alignment horizontal="center" vertical="center"/>
    </xf>
    <xf numFmtId="49" fontId="4" fillId="6" borderId="0" xfId="1" applyNumberFormat="1" applyFont="1" applyFill="1" applyAlignment="1">
      <alignment horizontal="right" vertical="center" readingOrder="2"/>
    </xf>
    <xf numFmtId="49" fontId="14" fillId="6" borderId="0" xfId="1" applyNumberFormat="1" applyFont="1" applyFill="1" applyAlignment="1">
      <alignment horizontal="left" vertical="center" readingOrder="1"/>
    </xf>
    <xf numFmtId="0" fontId="1" fillId="6" borderId="0" xfId="1" applyFont="1" applyFill="1"/>
    <xf numFmtId="0" fontId="4" fillId="6" borderId="0" xfId="4" applyFont="1" applyFill="1" applyAlignment="1">
      <alignment vertical="top" wrapText="1"/>
    </xf>
    <xf numFmtId="0" fontId="15" fillId="0" borderId="28" xfId="1" applyFont="1" applyFill="1" applyBorder="1" applyAlignment="1">
      <alignment horizontal="right" vertical="center" indent="1" readingOrder="1"/>
    </xf>
    <xf numFmtId="0" fontId="15" fillId="0" borderId="38" xfId="1" applyFont="1" applyFill="1" applyBorder="1" applyAlignment="1">
      <alignment horizontal="right" vertical="center" indent="1" readingOrder="1"/>
    </xf>
    <xf numFmtId="0" fontId="1" fillId="3" borderId="18" xfId="1" applyFont="1" applyFill="1" applyBorder="1" applyAlignment="1">
      <alignment horizontal="left" vertical="center" wrapText="1" indent="1" readingOrder="1"/>
    </xf>
    <xf numFmtId="49" fontId="45" fillId="0" borderId="13" xfId="17" applyNumberFormat="1" applyFont="1" applyFill="1" applyBorder="1" applyAlignment="1">
      <alignment horizontal="center" vertical="center" wrapText="1" readingOrder="2"/>
    </xf>
    <xf numFmtId="49" fontId="45" fillId="0" borderId="39" xfId="17" applyNumberFormat="1" applyFont="1" applyFill="1" applyBorder="1" applyAlignment="1">
      <alignment horizontal="center" vertical="center" wrapText="1" readingOrder="2"/>
    </xf>
    <xf numFmtId="0" fontId="1" fillId="0" borderId="0" xfId="1" applyAlignment="1">
      <alignment readingOrder="1"/>
    </xf>
    <xf numFmtId="164" fontId="14" fillId="0" borderId="7" xfId="18" applyNumberFormat="1" applyFont="1" applyFill="1" applyBorder="1" applyAlignment="1">
      <alignment horizontal="right" vertical="center" indent="1"/>
    </xf>
    <xf numFmtId="3" fontId="42" fillId="6" borderId="7" xfId="1" applyNumberFormat="1" applyFont="1" applyFill="1" applyBorder="1" applyAlignment="1">
      <alignment horizontal="right" vertical="center" indent="1" readingOrder="1"/>
    </xf>
    <xf numFmtId="3" fontId="42" fillId="6" borderId="8" xfId="1" applyNumberFormat="1" applyFont="1" applyFill="1" applyBorder="1" applyAlignment="1">
      <alignment horizontal="right" vertical="center" indent="1" readingOrder="1"/>
    </xf>
    <xf numFmtId="3" fontId="42" fillId="3" borderId="7" xfId="1" applyNumberFormat="1" applyFont="1" applyFill="1" applyBorder="1" applyAlignment="1">
      <alignment horizontal="right" vertical="center" indent="1" readingOrder="1"/>
    </xf>
    <xf numFmtId="3" fontId="42" fillId="3" borderId="8" xfId="1" applyNumberFormat="1" applyFont="1" applyFill="1" applyBorder="1" applyAlignment="1">
      <alignment horizontal="right" vertical="center" indent="1" readingOrder="1"/>
    </xf>
    <xf numFmtId="164" fontId="14" fillId="3" borderId="7" xfId="18" applyNumberFormat="1" applyFont="1" applyFill="1" applyBorder="1" applyAlignment="1">
      <alignment horizontal="right" vertical="center" indent="1"/>
    </xf>
    <xf numFmtId="164" fontId="14" fillId="0" borderId="22" xfId="18" applyNumberFormat="1" applyFont="1" applyFill="1" applyBorder="1" applyAlignment="1">
      <alignment horizontal="right" vertical="center" indent="1"/>
    </xf>
    <xf numFmtId="0" fontId="7" fillId="3" borderId="27" xfId="1" applyFont="1" applyFill="1" applyBorder="1" applyAlignment="1">
      <alignment horizontal="center" vertical="center" wrapText="1" readingOrder="1"/>
    </xf>
    <xf numFmtId="0" fontId="7" fillId="3" borderId="23" xfId="1" applyFont="1" applyFill="1" applyBorder="1" applyAlignment="1">
      <alignment horizontal="center" vertical="center" wrapText="1"/>
    </xf>
    <xf numFmtId="0" fontId="4" fillId="6" borderId="0" xfId="4" applyFont="1" applyFill="1" applyAlignment="1">
      <alignment horizontal="center" vertical="center"/>
    </xf>
    <xf numFmtId="3" fontId="1" fillId="0" borderId="15" xfId="18" applyNumberFormat="1" applyFont="1" applyFill="1" applyBorder="1" applyAlignment="1">
      <alignment horizontal="right" vertical="center" indent="1"/>
    </xf>
    <xf numFmtId="3" fontId="1" fillId="0" borderId="37" xfId="18" applyNumberFormat="1" applyFont="1" applyFill="1" applyBorder="1" applyAlignment="1">
      <alignment horizontal="right" vertical="center" indent="1"/>
    </xf>
    <xf numFmtId="3" fontId="14" fillId="0" borderId="23" xfId="17" applyNumberFormat="1" applyFont="1" applyFill="1" applyBorder="1" applyAlignment="1">
      <alignment horizontal="left" vertical="center" wrapText="1" indent="1"/>
    </xf>
    <xf numFmtId="3" fontId="31" fillId="6" borderId="9" xfId="1" applyNumberFormat="1" applyFont="1" applyFill="1" applyBorder="1" applyAlignment="1">
      <alignment horizontal="right" vertical="center" indent="1" readingOrder="1"/>
    </xf>
    <xf numFmtId="3" fontId="42" fillId="6" borderId="9" xfId="1" applyNumberFormat="1" applyFont="1" applyFill="1" applyBorder="1" applyAlignment="1">
      <alignment horizontal="right" vertical="center" indent="1" readingOrder="1"/>
    </xf>
    <xf numFmtId="3" fontId="42" fillId="3" borderId="9" xfId="1" applyNumberFormat="1" applyFont="1" applyFill="1" applyBorder="1" applyAlignment="1">
      <alignment horizontal="right" vertical="center" indent="1" readingOrder="1"/>
    </xf>
    <xf numFmtId="164" fontId="14" fillId="0" borderId="13" xfId="18" applyNumberFormat="1" applyFont="1" applyFill="1" applyBorder="1" applyAlignment="1">
      <alignment horizontal="right" vertical="center" indent="1"/>
    </xf>
    <xf numFmtId="3" fontId="42" fillId="3" borderId="22" xfId="1" applyNumberFormat="1" applyFont="1" applyFill="1" applyBorder="1" applyAlignment="1">
      <alignment horizontal="right" vertical="center" indent="1" readingOrder="1"/>
    </xf>
    <xf numFmtId="3" fontId="42" fillId="3" borderId="23" xfId="1" applyNumberFormat="1" applyFont="1" applyFill="1" applyBorder="1" applyAlignment="1">
      <alignment horizontal="right" vertical="center" indent="1" readingOrder="1"/>
    </xf>
    <xf numFmtId="3" fontId="42" fillId="3" borderId="24" xfId="1" applyNumberFormat="1" applyFont="1" applyFill="1" applyBorder="1" applyAlignment="1">
      <alignment horizontal="right" vertical="center" indent="1" readingOrder="1"/>
    </xf>
    <xf numFmtId="164" fontId="14" fillId="3" borderId="22" xfId="18" applyNumberFormat="1" applyFont="1" applyFill="1" applyBorder="1" applyAlignment="1">
      <alignment horizontal="right" vertical="center" indent="1"/>
    </xf>
    <xf numFmtId="0" fontId="7" fillId="3" borderId="27" xfId="1" applyFont="1" applyFill="1" applyBorder="1" applyAlignment="1">
      <alignment horizontal="center" vertical="center" wrapText="1"/>
    </xf>
    <xf numFmtId="3" fontId="39" fillId="6" borderId="44" xfId="1" applyNumberFormat="1" applyFont="1" applyFill="1" applyBorder="1" applyAlignment="1">
      <alignment horizontal="right" vertical="center" indent="1" readingOrder="1"/>
    </xf>
    <xf numFmtId="0" fontId="14" fillId="6" borderId="15" xfId="1" applyFont="1" applyFill="1" applyBorder="1" applyAlignment="1">
      <alignment horizontal="center" vertical="center" wrapText="1" readingOrder="2"/>
    </xf>
    <xf numFmtId="3" fontId="39" fillId="6" borderId="13" xfId="1" applyNumberFormat="1" applyFont="1" applyFill="1" applyBorder="1" applyAlignment="1">
      <alignment horizontal="right" vertical="center" indent="1" readingOrder="1"/>
    </xf>
    <xf numFmtId="164" fontId="8" fillId="6" borderId="14" xfId="1" applyNumberFormat="1" applyFont="1" applyFill="1" applyBorder="1" applyAlignment="1">
      <alignment horizontal="center" vertical="center" readingOrder="1"/>
    </xf>
    <xf numFmtId="0" fontId="14" fillId="6" borderId="37" xfId="1" applyFont="1" applyFill="1" applyBorder="1" applyAlignment="1">
      <alignment horizontal="center" vertical="center" wrapText="1" readingOrder="2"/>
    </xf>
    <xf numFmtId="164" fontId="8" fillId="6" borderId="38" xfId="1" applyNumberFormat="1" applyFont="1" applyFill="1" applyBorder="1" applyAlignment="1">
      <alignment horizontal="center" vertical="center" readingOrder="1"/>
    </xf>
    <xf numFmtId="3" fontId="39" fillId="6" borderId="27" xfId="1" applyNumberFormat="1" applyFont="1" applyFill="1" applyBorder="1" applyAlignment="1">
      <alignment horizontal="right" vertical="center" indent="1" readingOrder="1"/>
    </xf>
    <xf numFmtId="0" fontId="14" fillId="6" borderId="11" xfId="1" applyFont="1" applyFill="1" applyBorder="1" applyAlignment="1">
      <alignment horizontal="center" vertical="center" wrapText="1" readingOrder="2"/>
    </xf>
    <xf numFmtId="164" fontId="8" fillId="6" borderId="11" xfId="1" applyNumberFormat="1" applyFont="1" applyFill="1" applyBorder="1" applyAlignment="1">
      <alignment horizontal="center" vertical="center" readingOrder="1"/>
    </xf>
    <xf numFmtId="0" fontId="20" fillId="3" borderId="38" xfId="1" applyFont="1" applyFill="1" applyBorder="1" applyAlignment="1">
      <alignment horizontal="center" vertical="top" wrapText="1" readingOrder="1"/>
    </xf>
    <xf numFmtId="3" fontId="14" fillId="0" borderId="38" xfId="1" applyNumberFormat="1" applyFont="1" applyFill="1" applyBorder="1" applyAlignment="1">
      <alignment horizontal="right" vertical="center" indent="1" readingOrder="1"/>
    </xf>
    <xf numFmtId="0" fontId="1" fillId="6" borderId="0" xfId="1" applyFill="1" applyAlignment="1">
      <alignment horizontal="center" vertical="center"/>
    </xf>
    <xf numFmtId="0" fontId="1" fillId="0" borderId="0" xfId="1" applyAlignment="1">
      <alignment horizontal="center"/>
    </xf>
    <xf numFmtId="165" fontId="14" fillId="6" borderId="8" xfId="1" applyNumberFormat="1" applyFont="1" applyFill="1" applyBorder="1" applyAlignment="1">
      <alignment horizontal="right" vertical="center" indent="1" readingOrder="1"/>
    </xf>
    <xf numFmtId="165" fontId="14" fillId="6" borderId="17" xfId="1" applyNumberFormat="1" applyFont="1" applyFill="1" applyBorder="1" applyAlignment="1">
      <alignment horizontal="right" vertical="center" indent="1" readingOrder="1"/>
    </xf>
    <xf numFmtId="165" fontId="14" fillId="3" borderId="17" xfId="1" applyNumberFormat="1" applyFont="1" applyFill="1" applyBorder="1" applyAlignment="1">
      <alignment horizontal="right" vertical="center" indent="1" readingOrder="1"/>
    </xf>
    <xf numFmtId="165" fontId="14" fillId="3" borderId="20" xfId="1" applyNumberFormat="1" applyFont="1" applyFill="1" applyBorder="1" applyAlignment="1">
      <alignment horizontal="right" vertical="center" indent="1" readingOrder="1"/>
    </xf>
    <xf numFmtId="165" fontId="14" fillId="6" borderId="11" xfId="1" applyNumberFormat="1" applyFont="1" applyFill="1" applyBorder="1" applyAlignment="1">
      <alignment horizontal="right" vertical="center" indent="1" readingOrder="1"/>
    </xf>
    <xf numFmtId="165" fontId="14" fillId="6" borderId="15" xfId="1" applyNumberFormat="1" applyFont="1" applyFill="1" applyBorder="1" applyAlignment="1">
      <alignment horizontal="right" vertical="center" indent="1" readingOrder="1"/>
    </xf>
    <xf numFmtId="165" fontId="14" fillId="6" borderId="18" xfId="1" applyNumberFormat="1" applyFont="1" applyFill="1" applyBorder="1" applyAlignment="1">
      <alignment horizontal="right" vertical="center" indent="1" readingOrder="1"/>
    </xf>
    <xf numFmtId="3" fontId="14" fillId="0" borderId="37" xfId="1" applyNumberFormat="1" applyFont="1" applyFill="1" applyBorder="1" applyAlignment="1">
      <alignment horizontal="right" vertical="center" indent="1" readingOrder="1"/>
    </xf>
    <xf numFmtId="164" fontId="14" fillId="6" borderId="8" xfId="1" applyNumberFormat="1" applyFont="1" applyFill="1" applyBorder="1" applyAlignment="1">
      <alignment horizontal="right" vertical="center" indent="1"/>
    </xf>
    <xf numFmtId="3" fontId="46" fillId="0" borderId="14" xfId="1" applyNumberFormat="1" applyFont="1" applyFill="1" applyBorder="1" applyAlignment="1">
      <alignment horizontal="right" vertical="center" indent="1" readingOrder="1"/>
    </xf>
    <xf numFmtId="3" fontId="44" fillId="0" borderId="14" xfId="1" applyNumberFormat="1" applyFont="1" applyFill="1" applyBorder="1" applyAlignment="1">
      <alignment horizontal="right" vertical="center" indent="1" readingOrder="1"/>
    </xf>
    <xf numFmtId="3" fontId="46" fillId="0" borderId="38" xfId="1" applyNumberFormat="1" applyFont="1" applyFill="1" applyBorder="1" applyAlignment="1">
      <alignment horizontal="right" vertical="center" indent="1" readingOrder="1"/>
    </xf>
    <xf numFmtId="3" fontId="44" fillId="0" borderId="38" xfId="1" applyNumberFormat="1" applyFont="1" applyFill="1" applyBorder="1" applyAlignment="1">
      <alignment horizontal="right" vertical="center" indent="1" readingOrder="1"/>
    </xf>
    <xf numFmtId="0" fontId="7" fillId="3" borderId="23" xfId="1" applyFont="1" applyFill="1" applyBorder="1" applyAlignment="1">
      <alignment horizontal="center" vertical="center" wrapText="1"/>
    </xf>
    <xf numFmtId="0" fontId="15" fillId="3" borderId="23" xfId="1" applyFont="1" applyFill="1" applyBorder="1" applyAlignment="1">
      <alignment horizontal="center" vertical="center" wrapText="1"/>
    </xf>
    <xf numFmtId="3" fontId="39" fillId="0" borderId="38" xfId="1" applyNumberFormat="1" applyFont="1" applyFill="1" applyBorder="1" applyAlignment="1">
      <alignment horizontal="right" vertical="center" indent="1"/>
    </xf>
    <xf numFmtId="0" fontId="1" fillId="0" borderId="25" xfId="1" applyBorder="1"/>
    <xf numFmtId="0" fontId="14" fillId="0" borderId="44" xfId="1" applyFont="1" applyFill="1" applyBorder="1" applyAlignment="1">
      <alignment horizontal="right" vertical="center" indent="1" readingOrder="1"/>
    </xf>
    <xf numFmtId="0" fontId="14" fillId="3" borderId="27" xfId="1" applyFont="1" applyFill="1" applyBorder="1" applyAlignment="1">
      <alignment horizontal="right" vertical="center" indent="1" readingOrder="1"/>
    </xf>
    <xf numFmtId="3" fontId="39" fillId="6" borderId="8" xfId="1" applyNumberFormat="1" applyFont="1" applyFill="1" applyBorder="1" applyAlignment="1">
      <alignment horizontal="right" vertical="center" indent="1" readingOrder="1"/>
    </xf>
    <xf numFmtId="3" fontId="40" fillId="0" borderId="38" xfId="1" applyNumberFormat="1" applyFont="1" applyFill="1" applyBorder="1" applyAlignment="1">
      <alignment horizontal="right" vertical="center" indent="1" readingOrder="1"/>
    </xf>
    <xf numFmtId="3" fontId="39" fillId="0" borderId="38" xfId="1" applyNumberFormat="1" applyFont="1" applyFill="1" applyBorder="1" applyAlignment="1">
      <alignment horizontal="right" vertical="center" indent="1" readingOrder="1"/>
    </xf>
    <xf numFmtId="3" fontId="39" fillId="0" borderId="38" xfId="1" applyNumberFormat="1" applyFont="1" applyFill="1" applyBorder="1" applyAlignment="1">
      <alignment horizontal="right" indent="1"/>
    </xf>
    <xf numFmtId="3" fontId="31" fillId="0" borderId="8" xfId="1" applyNumberFormat="1" applyFont="1" applyFill="1" applyBorder="1" applyAlignment="1">
      <alignment horizontal="right" vertical="center" indent="1" readingOrder="1"/>
    </xf>
    <xf numFmtId="0" fontId="4" fillId="6" borderId="40" xfId="17" applyFont="1" applyFill="1" applyBorder="1" applyAlignment="1">
      <alignment horizontal="right" vertical="center" wrapText="1" indent="1" readingOrder="2"/>
    </xf>
    <xf numFmtId="3" fontId="31" fillId="0" borderId="11" xfId="18" applyNumberFormat="1" applyFont="1" applyFill="1" applyBorder="1" applyAlignment="1">
      <alignment horizontal="right" vertical="center" indent="1"/>
    </xf>
    <xf numFmtId="3" fontId="39" fillId="0" borderId="23" xfId="16" applyNumberFormat="1" applyFont="1" applyFill="1" applyBorder="1" applyAlignment="1">
      <alignment horizontal="right" vertical="center" indent="1"/>
    </xf>
    <xf numFmtId="0" fontId="4" fillId="6" borderId="0" xfId="1" applyFont="1" applyFill="1"/>
    <xf numFmtId="0" fontId="33" fillId="0" borderId="13" xfId="1" applyFont="1" applyFill="1" applyBorder="1" applyAlignment="1">
      <alignment horizontal="right" vertical="center" wrapText="1" indent="1" readingOrder="2"/>
    </xf>
    <xf numFmtId="0" fontId="33" fillId="0" borderId="16" xfId="1" applyFont="1" applyFill="1" applyBorder="1" applyAlignment="1">
      <alignment horizontal="right" vertical="center" wrapText="1" indent="1" readingOrder="2"/>
    </xf>
    <xf numFmtId="0" fontId="31" fillId="0" borderId="15" xfId="17" applyFont="1" applyFill="1" applyBorder="1" applyAlignment="1">
      <alignment horizontal="left" vertical="center" wrapText="1" indent="1" readingOrder="1"/>
    </xf>
    <xf numFmtId="0" fontId="31" fillId="0" borderId="18" xfId="17" applyFont="1" applyFill="1" applyBorder="1" applyAlignment="1">
      <alignment horizontal="left" vertical="center" wrapText="1" indent="1" readingOrder="1"/>
    </xf>
    <xf numFmtId="0" fontId="31" fillId="0" borderId="21" xfId="17" applyFont="1" applyFill="1" applyBorder="1" applyAlignment="1">
      <alignment horizontal="left" vertical="center" wrapText="1" indent="1" readingOrder="1"/>
    </xf>
    <xf numFmtId="0" fontId="8" fillId="3" borderId="38" xfId="1" applyFont="1" applyFill="1" applyBorder="1" applyAlignment="1">
      <alignment horizontal="center" vertical="top" wrapText="1" readingOrder="2"/>
    </xf>
    <xf numFmtId="0" fontId="37" fillId="0" borderId="28" xfId="1" applyFont="1" applyFill="1" applyBorder="1" applyAlignment="1">
      <alignment horizontal="right" vertical="center" indent="1" readingOrder="1"/>
    </xf>
    <xf numFmtId="0" fontId="16" fillId="0" borderId="27" xfId="1" applyFont="1" applyFill="1" applyBorder="1" applyAlignment="1">
      <alignment horizontal="right" vertical="center" indent="1" readingOrder="1"/>
    </xf>
    <xf numFmtId="0" fontId="15" fillId="0" borderId="27" xfId="1" applyFont="1" applyFill="1" applyBorder="1" applyAlignment="1">
      <alignment horizontal="right" vertical="center" indent="1" readingOrder="1"/>
    </xf>
    <xf numFmtId="3" fontId="49" fillId="3" borderId="17" xfId="0" applyNumberFormat="1" applyFont="1" applyFill="1" applyBorder="1" applyAlignment="1">
      <alignment horizontal="right" vertical="center" indent="1"/>
    </xf>
    <xf numFmtId="3" fontId="49" fillId="6" borderId="17" xfId="0" applyNumberFormat="1" applyFont="1" applyFill="1" applyBorder="1" applyAlignment="1">
      <alignment horizontal="right" vertical="center" indent="1"/>
    </xf>
    <xf numFmtId="3" fontId="49" fillId="6" borderId="20" xfId="0" applyNumberFormat="1" applyFont="1" applyFill="1" applyBorder="1" applyAlignment="1">
      <alignment horizontal="right" vertical="center" indent="1"/>
    </xf>
    <xf numFmtId="3" fontId="14" fillId="0" borderId="8" xfId="1" applyNumberFormat="1" applyFont="1" applyFill="1" applyBorder="1" applyAlignment="1">
      <alignment horizontal="right" vertical="center" indent="1"/>
    </xf>
    <xf numFmtId="3" fontId="14" fillId="3" borderId="15" xfId="1" applyNumberFormat="1" applyFont="1" applyFill="1" applyBorder="1" applyAlignment="1">
      <alignment horizontal="right" vertical="center" indent="1" readingOrder="1"/>
    </xf>
    <xf numFmtId="165" fontId="14" fillId="3" borderId="15" xfId="1" applyNumberFormat="1" applyFont="1" applyFill="1" applyBorder="1" applyAlignment="1">
      <alignment horizontal="right" vertical="center" indent="1" readingOrder="1"/>
    </xf>
    <xf numFmtId="165" fontId="14" fillId="3" borderId="18" xfId="1" applyNumberFormat="1" applyFont="1" applyFill="1" applyBorder="1" applyAlignment="1">
      <alignment horizontal="right" vertical="center" indent="1" readingOrder="1"/>
    </xf>
    <xf numFmtId="3" fontId="14" fillId="3" borderId="37" xfId="1" applyNumberFormat="1" applyFont="1" applyFill="1" applyBorder="1" applyAlignment="1">
      <alignment horizontal="right" vertical="center" indent="1" readingOrder="1"/>
    </xf>
    <xf numFmtId="165" fontId="14" fillId="3" borderId="21" xfId="1" applyNumberFormat="1" applyFont="1" applyFill="1" applyBorder="1" applyAlignment="1">
      <alignment horizontal="right" vertical="center" indent="1" readingOrder="1"/>
    </xf>
    <xf numFmtId="0" fontId="39" fillId="6" borderId="8" xfId="1" applyFont="1" applyFill="1" applyBorder="1" applyAlignment="1">
      <alignment horizontal="left" vertical="center" wrapText="1" indent="1" readingOrder="1"/>
    </xf>
    <xf numFmtId="3" fontId="39" fillId="0" borderId="27" xfId="16" applyNumberFormat="1" applyFont="1" applyFill="1" applyBorder="1" applyAlignment="1">
      <alignment horizontal="right" vertical="center" indent="1"/>
    </xf>
    <xf numFmtId="3" fontId="31" fillId="0" borderId="27" xfId="1" applyNumberFormat="1" applyFont="1" applyFill="1" applyBorder="1" applyAlignment="1">
      <alignment horizontal="right" vertical="center" indent="1" readingOrder="1"/>
    </xf>
    <xf numFmtId="3" fontId="1" fillId="0" borderId="38" xfId="1" applyNumberFormat="1" applyFont="1" applyFill="1" applyBorder="1" applyAlignment="1">
      <alignment horizontal="right" vertical="center" indent="1" readingOrder="1"/>
    </xf>
    <xf numFmtId="0" fontId="37" fillId="0" borderId="37" xfId="1" applyFont="1" applyFill="1" applyBorder="1" applyAlignment="1">
      <alignment horizontal="right" vertical="center" indent="1" readingOrder="1"/>
    </xf>
    <xf numFmtId="0" fontId="37" fillId="0" borderId="41" xfId="1" applyFont="1" applyFill="1" applyBorder="1" applyAlignment="1">
      <alignment horizontal="right" vertical="center" indent="1" readingOrder="1"/>
    </xf>
    <xf numFmtId="0" fontId="14" fillId="0" borderId="25" xfId="1" applyFont="1" applyFill="1" applyBorder="1" applyAlignment="1">
      <alignment horizontal="right" vertical="center" indent="1" readingOrder="1"/>
    </xf>
    <xf numFmtId="3" fontId="39" fillId="3" borderId="9" xfId="1" applyNumberFormat="1" applyFont="1" applyFill="1" applyBorder="1" applyAlignment="1">
      <alignment horizontal="right" vertical="center" indent="1" readingOrder="1"/>
    </xf>
    <xf numFmtId="3" fontId="39" fillId="3" borderId="44" xfId="1" applyNumberFormat="1" applyFont="1" applyFill="1" applyBorder="1" applyAlignment="1">
      <alignment horizontal="right" vertical="center" indent="1" readingOrder="1"/>
    </xf>
    <xf numFmtId="3" fontId="39" fillId="3" borderId="17" xfId="0" applyNumberFormat="1" applyFont="1" applyFill="1" applyBorder="1" applyAlignment="1">
      <alignment horizontal="right" vertical="center" indent="1"/>
    </xf>
    <xf numFmtId="3" fontId="39" fillId="6" borderId="20" xfId="0" applyNumberFormat="1" applyFont="1" applyFill="1" applyBorder="1" applyAlignment="1">
      <alignment horizontal="right" vertical="center" indent="1"/>
    </xf>
    <xf numFmtId="0" fontId="39" fillId="3" borderId="17" xfId="1" applyFont="1" applyFill="1" applyBorder="1" applyAlignment="1">
      <alignment horizontal="left" vertical="center" wrapText="1" indent="1" readingOrder="1"/>
    </xf>
    <xf numFmtId="0" fontId="39" fillId="6" borderId="17" xfId="1" applyFont="1" applyFill="1" applyBorder="1" applyAlignment="1">
      <alignment horizontal="left" vertical="center" wrapText="1" indent="1" readingOrder="1"/>
    </xf>
    <xf numFmtId="0" fontId="39" fillId="3" borderId="20" xfId="1" applyFont="1" applyFill="1" applyBorder="1" applyAlignment="1">
      <alignment horizontal="left" vertical="center" wrapText="1" indent="1" readingOrder="1"/>
    </xf>
    <xf numFmtId="0" fontId="14" fillId="6" borderId="8" xfId="1" applyFont="1" applyFill="1" applyBorder="1" applyAlignment="1">
      <alignment horizontal="left" vertical="center" wrapText="1" indent="1" readingOrder="1"/>
    </xf>
    <xf numFmtId="0" fontId="14" fillId="3" borderId="17" xfId="1" applyFont="1" applyFill="1" applyBorder="1" applyAlignment="1">
      <alignment horizontal="left" vertical="center" wrapText="1" indent="1" readingOrder="1"/>
    </xf>
    <xf numFmtId="0" fontId="14" fillId="6" borderId="17" xfId="1" applyFont="1" applyFill="1" applyBorder="1" applyAlignment="1">
      <alignment horizontal="left" vertical="center" wrapText="1" indent="1" readingOrder="1"/>
    </xf>
    <xf numFmtId="0" fontId="14" fillId="3" borderId="20" xfId="1" applyFont="1" applyFill="1" applyBorder="1" applyAlignment="1">
      <alignment horizontal="left" vertical="center" wrapText="1" indent="1" readingOrder="1"/>
    </xf>
    <xf numFmtId="0" fontId="14" fillId="6" borderId="14" xfId="1" applyFont="1" applyFill="1" applyBorder="1" applyAlignment="1">
      <alignment horizontal="left" vertical="center" wrapText="1" indent="1" readingOrder="1"/>
    </xf>
    <xf numFmtId="3" fontId="1" fillId="0" borderId="33" xfId="1" applyNumberFormat="1" applyFont="1" applyBorder="1"/>
    <xf numFmtId="0" fontId="4" fillId="3" borderId="52" xfId="17" applyFont="1" applyFill="1" applyBorder="1" applyAlignment="1">
      <alignment horizontal="center" vertical="center" wrapText="1" readingOrder="2"/>
    </xf>
    <xf numFmtId="3" fontId="1" fillId="3" borderId="53" xfId="18" applyNumberFormat="1" applyFont="1" applyFill="1" applyBorder="1">
      <alignment horizontal="right" vertical="center" indent="1"/>
    </xf>
    <xf numFmtId="164" fontId="1" fillId="3" borderId="53" xfId="16" applyNumberFormat="1" applyFont="1" applyFill="1" applyBorder="1">
      <alignment horizontal="right" vertical="center" indent="1"/>
    </xf>
    <xf numFmtId="0" fontId="14" fillId="3" borderId="54" xfId="17" applyFont="1" applyFill="1" applyBorder="1" applyAlignment="1">
      <alignment horizontal="center" vertical="center" wrapText="1" readingOrder="1"/>
    </xf>
    <xf numFmtId="3" fontId="39" fillId="0" borderId="27" xfId="1" applyNumberFormat="1" applyFont="1" applyFill="1" applyBorder="1" applyAlignment="1">
      <alignment horizontal="right" vertical="center" indent="1" readingOrder="1"/>
    </xf>
    <xf numFmtId="164" fontId="14" fillId="3" borderId="17" xfId="16" applyNumberFormat="1" applyFont="1" applyFill="1" applyBorder="1">
      <alignment horizontal="right" vertical="center" indent="1"/>
    </xf>
    <xf numFmtId="164" fontId="14" fillId="3" borderId="53" xfId="16" applyNumberFormat="1" applyFont="1" applyFill="1" applyBorder="1">
      <alignment horizontal="right" vertical="center" indent="1"/>
    </xf>
    <xf numFmtId="3" fontId="39" fillId="0" borderId="8" xfId="1" applyNumberFormat="1" applyFont="1" applyFill="1" applyBorder="1" applyAlignment="1">
      <alignment horizontal="right" vertical="center" indent="1"/>
    </xf>
    <xf numFmtId="3" fontId="39" fillId="0" borderId="27" xfId="1" applyNumberFormat="1" applyFont="1" applyFill="1" applyBorder="1" applyAlignment="1">
      <alignment horizontal="right" vertical="center" indent="1"/>
    </xf>
    <xf numFmtId="0" fontId="41" fillId="0" borderId="0" xfId="0" applyFont="1" applyFill="1" applyBorder="1" applyAlignment="1">
      <alignment horizontal="center" vertical="center"/>
    </xf>
    <xf numFmtId="1" fontId="41" fillId="0" borderId="0" xfId="0" applyNumberFormat="1" applyFont="1" applyFill="1" applyBorder="1" applyAlignment="1">
      <alignment horizontal="right" vertical="center" indent="1"/>
    </xf>
    <xf numFmtId="164" fontId="41" fillId="0" borderId="0" xfId="0" applyNumberFormat="1" applyFont="1" applyFill="1" applyBorder="1" applyAlignment="1">
      <alignment horizontal="right" vertical="center" indent="1"/>
    </xf>
    <xf numFmtId="0" fontId="43" fillId="0" borderId="0" xfId="0" applyFont="1" applyFill="1" applyBorder="1" applyAlignment="1">
      <alignment horizontal="center" vertical="center"/>
    </xf>
    <xf numFmtId="3" fontId="31" fillId="0" borderId="0" xfId="1" applyNumberFormat="1" applyFont="1" applyBorder="1" applyAlignment="1">
      <alignment horizontal="right" vertical="center" indent="1" readingOrder="1"/>
    </xf>
    <xf numFmtId="3" fontId="31" fillId="3" borderId="0" xfId="1" applyNumberFormat="1" applyFont="1" applyFill="1" applyBorder="1" applyAlignment="1">
      <alignment horizontal="right" vertical="center" indent="1" readingOrder="1"/>
    </xf>
    <xf numFmtId="0" fontId="4" fillId="3" borderId="10" xfId="1" applyFont="1" applyFill="1" applyBorder="1" applyAlignment="1">
      <alignment horizontal="center" vertical="center" readingOrder="2"/>
    </xf>
    <xf numFmtId="165" fontId="14" fillId="3" borderId="11" xfId="1" applyNumberFormat="1" applyFont="1" applyFill="1" applyBorder="1" applyAlignment="1">
      <alignment horizontal="right" vertical="center" indent="1"/>
    </xf>
    <xf numFmtId="3" fontId="39" fillId="0" borderId="13" xfId="1" applyNumberFormat="1" applyFont="1" applyFill="1" applyBorder="1" applyAlignment="1">
      <alignment horizontal="right" vertical="center" indent="1"/>
    </xf>
    <xf numFmtId="3" fontId="39" fillId="0" borderId="39" xfId="1" applyNumberFormat="1" applyFont="1" applyFill="1" applyBorder="1" applyAlignment="1">
      <alignment horizontal="right" vertical="center" indent="1"/>
    </xf>
    <xf numFmtId="0" fontId="51" fillId="3" borderId="28" xfId="1" applyFont="1" applyFill="1" applyBorder="1" applyAlignment="1">
      <alignment horizontal="center" vertical="top" wrapText="1" readingOrder="2"/>
    </xf>
    <xf numFmtId="3" fontId="39" fillId="0" borderId="8" xfId="1" applyNumberFormat="1" applyFont="1" applyFill="1" applyBorder="1" applyAlignment="1">
      <alignment horizontal="right" vertical="center" indent="1" readingOrder="1"/>
    </xf>
    <xf numFmtId="3" fontId="14" fillId="0" borderId="37" xfId="18" applyNumberFormat="1" applyFont="1" applyFill="1" applyBorder="1">
      <alignment horizontal="right" vertical="center" indent="1"/>
    </xf>
    <xf numFmtId="164" fontId="14" fillId="3" borderId="11" xfId="17" applyNumberFormat="1" applyFont="1" applyFill="1" applyBorder="1" applyAlignment="1">
      <alignment horizontal="left" vertical="center" wrapText="1" indent="1"/>
    </xf>
    <xf numFmtId="164" fontId="14" fillId="3" borderId="28" xfId="17" applyNumberFormat="1" applyFont="1" applyFill="1" applyBorder="1" applyAlignment="1">
      <alignment horizontal="left" vertical="center" wrapText="1" indent="1" readingOrder="1"/>
    </xf>
    <xf numFmtId="0" fontId="14" fillId="3" borderId="40" xfId="17" applyFont="1" applyFill="1" applyBorder="1" applyAlignment="1">
      <alignment horizontal="center" vertical="center" wrapText="1" readingOrder="2"/>
    </xf>
    <xf numFmtId="0" fontId="5" fillId="6" borderId="44" xfId="17" applyFont="1" applyFill="1" applyBorder="1" applyAlignment="1">
      <alignment horizontal="center" vertical="center" wrapText="1" readingOrder="1"/>
    </xf>
    <xf numFmtId="0" fontId="16" fillId="0" borderId="44" xfId="1" applyFont="1" applyFill="1" applyBorder="1" applyAlignment="1">
      <alignment horizontal="right" vertical="center" indent="1" readingOrder="1"/>
    </xf>
    <xf numFmtId="164" fontId="14" fillId="3" borderId="11" xfId="1" applyNumberFormat="1" applyFont="1" applyFill="1" applyBorder="1" applyAlignment="1">
      <alignment horizontal="right" vertical="center" indent="1" readingOrder="1"/>
    </xf>
    <xf numFmtId="1" fontId="14" fillId="0" borderId="10" xfId="1" applyNumberFormat="1" applyFont="1" applyFill="1" applyBorder="1" applyAlignment="1">
      <alignment vertical="center" readingOrder="1"/>
    </xf>
    <xf numFmtId="3" fontId="39" fillId="6" borderId="7" xfId="1" applyNumberFormat="1" applyFont="1" applyFill="1" applyBorder="1" applyAlignment="1">
      <alignment horizontal="right" vertical="center" indent="1" readingOrder="1"/>
    </xf>
    <xf numFmtId="3" fontId="39" fillId="6" borderId="11" xfId="1" applyNumberFormat="1" applyFont="1" applyFill="1" applyBorder="1" applyAlignment="1">
      <alignment horizontal="right" vertical="center" indent="1" readingOrder="1"/>
    </xf>
    <xf numFmtId="3" fontId="39" fillId="6" borderId="10" xfId="1" applyNumberFormat="1" applyFont="1" applyFill="1" applyBorder="1" applyAlignment="1">
      <alignment horizontal="right" vertical="center" indent="1" readingOrder="1"/>
    </xf>
    <xf numFmtId="165" fontId="39" fillId="6" borderId="7" xfId="1" applyNumberFormat="1" applyFont="1" applyFill="1" applyBorder="1" applyAlignment="1">
      <alignment horizontal="right" vertical="center" indent="1" readingOrder="1"/>
    </xf>
    <xf numFmtId="165" fontId="39" fillId="6" borderId="10" xfId="1" applyNumberFormat="1" applyFont="1" applyFill="1" applyBorder="1" applyAlignment="1">
      <alignment horizontal="right" vertical="center" indent="1" readingOrder="1"/>
    </xf>
    <xf numFmtId="0" fontId="4" fillId="3" borderId="10" xfId="1" applyFont="1" applyFill="1" applyBorder="1" applyAlignment="1">
      <alignment horizontal="center" readingOrder="2"/>
    </xf>
    <xf numFmtId="164" fontId="14" fillId="3" borderId="11" xfId="1" applyNumberFormat="1" applyFont="1" applyFill="1" applyBorder="1" applyAlignment="1">
      <alignment horizontal="right" vertical="center" indent="1"/>
    </xf>
    <xf numFmtId="0" fontId="4" fillId="3" borderId="40" xfId="1" applyFont="1" applyFill="1" applyBorder="1" applyAlignment="1">
      <alignment horizontal="center" readingOrder="2"/>
    </xf>
    <xf numFmtId="164" fontId="14" fillId="3" borderId="28" xfId="1" applyNumberFormat="1" applyFont="1" applyFill="1" applyBorder="1" applyAlignment="1">
      <alignment horizontal="right" vertical="center" indent="1"/>
    </xf>
    <xf numFmtId="165" fontId="39" fillId="6" borderId="28" xfId="1" applyNumberFormat="1" applyFont="1" applyFill="1" applyBorder="1" applyAlignment="1">
      <alignment horizontal="right" vertical="center" indent="1"/>
    </xf>
    <xf numFmtId="165" fontId="39" fillId="6" borderId="11" xfId="1" applyNumberFormat="1" applyFont="1" applyFill="1" applyBorder="1" applyAlignment="1">
      <alignment horizontal="right" vertical="center" indent="1"/>
    </xf>
    <xf numFmtId="0" fontId="7" fillId="3" borderId="23" xfId="1" applyFont="1" applyFill="1" applyBorder="1" applyAlignment="1">
      <alignment horizontal="center" vertical="center" wrapText="1"/>
    </xf>
    <xf numFmtId="0" fontId="14" fillId="3" borderId="23" xfId="1" applyFont="1" applyFill="1" applyBorder="1" applyAlignment="1">
      <alignment horizontal="center" vertical="center" wrapText="1" readingOrder="1"/>
    </xf>
    <xf numFmtId="0" fontId="4" fillId="3" borderId="38" xfId="1" applyFont="1" applyFill="1" applyBorder="1" applyAlignment="1">
      <alignment horizontal="center" vertical="center" wrapText="1" readingOrder="1"/>
    </xf>
    <xf numFmtId="0" fontId="15" fillId="3" borderId="23" xfId="1" applyFont="1" applyFill="1" applyBorder="1" applyAlignment="1">
      <alignment horizontal="center" vertical="center" wrapText="1"/>
    </xf>
    <xf numFmtId="0" fontId="4" fillId="3" borderId="27"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1" fontId="1" fillId="0" borderId="0" xfId="33" applyNumberFormat="1" applyFont="1" applyBorder="1" applyAlignment="1">
      <alignment vertical="center"/>
    </xf>
    <xf numFmtId="1" fontId="53" fillId="0" borderId="0" xfId="33" applyNumberFormat="1" applyFont="1" applyBorder="1" applyAlignment="1">
      <alignment vertical="center"/>
    </xf>
    <xf numFmtId="0" fontId="4" fillId="6" borderId="0" xfId="24" applyFont="1" applyFill="1">
      <alignment horizontal="right" vertical="center"/>
    </xf>
    <xf numFmtId="1" fontId="11" fillId="0" borderId="0" xfId="1" applyNumberFormat="1" applyFont="1" applyBorder="1" applyAlignment="1">
      <alignment vertical="center"/>
    </xf>
    <xf numFmtId="0" fontId="47" fillId="0" borderId="0" xfId="34"/>
    <xf numFmtId="0" fontId="47" fillId="0" borderId="0" xfId="34" applyAlignment="1">
      <alignment vertical="center" wrapText="1"/>
    </xf>
    <xf numFmtId="0" fontId="54" fillId="3" borderId="17" xfId="34" applyFont="1" applyFill="1" applyBorder="1" applyAlignment="1">
      <alignment horizontal="center" vertical="center"/>
    </xf>
    <xf numFmtId="1" fontId="4" fillId="6" borderId="0" xfId="1" applyNumberFormat="1" applyFont="1" applyFill="1" applyBorder="1" applyAlignment="1">
      <alignment horizontal="centerContinuous" vertical="center"/>
    </xf>
    <xf numFmtId="1" fontId="1" fillId="0" borderId="0" xfId="1" applyNumberFormat="1" applyFont="1" applyBorder="1" applyAlignment="1">
      <alignment vertical="center"/>
    </xf>
    <xf numFmtId="0" fontId="54" fillId="3" borderId="8" xfId="34" applyFont="1" applyFill="1" applyBorder="1" applyAlignment="1">
      <alignment horizontal="center" vertical="center"/>
    </xf>
    <xf numFmtId="0" fontId="54" fillId="3" borderId="11" xfId="34" applyFont="1" applyFill="1" applyBorder="1" applyAlignment="1">
      <alignment horizontal="center" vertical="center"/>
    </xf>
    <xf numFmtId="0" fontId="39" fillId="0" borderId="14" xfId="34" applyFont="1" applyBorder="1" applyAlignment="1">
      <alignment horizontal="center" vertical="center" readingOrder="2"/>
    </xf>
    <xf numFmtId="0" fontId="39" fillId="0" borderId="17" xfId="34" applyFont="1" applyBorder="1" applyAlignment="1">
      <alignment horizontal="center" vertical="center" readingOrder="2"/>
    </xf>
    <xf numFmtId="0" fontId="39" fillId="3" borderId="17" xfId="34" applyFont="1" applyFill="1" applyBorder="1" applyAlignment="1">
      <alignment horizontal="center" vertical="center" readingOrder="2"/>
    </xf>
    <xf numFmtId="0" fontId="39" fillId="0" borderId="20" xfId="34" applyFont="1" applyBorder="1" applyAlignment="1">
      <alignment horizontal="center" vertical="center" readingOrder="2"/>
    </xf>
    <xf numFmtId="0" fontId="39" fillId="3" borderId="8" xfId="34" applyFont="1" applyFill="1" applyBorder="1" applyAlignment="1">
      <alignment horizontal="center" vertical="center" readingOrder="2"/>
    </xf>
    <xf numFmtId="0" fontId="39" fillId="3" borderId="11" xfId="34" applyFont="1" applyFill="1" applyBorder="1" applyAlignment="1">
      <alignment horizontal="center" vertical="center" readingOrder="2"/>
    </xf>
    <xf numFmtId="0" fontId="39" fillId="0" borderId="14" xfId="34" applyFont="1" applyBorder="1" applyAlignment="1">
      <alignment horizontal="right" vertical="center" indent="1"/>
    </xf>
    <xf numFmtId="0" fontId="39" fillId="3" borderId="17" xfId="34" applyFont="1" applyFill="1" applyBorder="1" applyAlignment="1">
      <alignment horizontal="right" vertical="center" indent="1"/>
    </xf>
    <xf numFmtId="0" fontId="39" fillId="3" borderId="8" xfId="34" applyFont="1" applyFill="1" applyBorder="1" applyAlignment="1">
      <alignment horizontal="right" vertical="center" indent="1"/>
    </xf>
    <xf numFmtId="0" fontId="39" fillId="3" borderId="11" xfId="34" applyFont="1" applyFill="1" applyBorder="1" applyAlignment="1">
      <alignment horizontal="right" vertical="center" indent="1"/>
    </xf>
    <xf numFmtId="0" fontId="55" fillId="0" borderId="14" xfId="34" applyFont="1" applyBorder="1" applyAlignment="1">
      <alignment horizontal="center" vertical="center"/>
    </xf>
    <xf numFmtId="0" fontId="55" fillId="0" borderId="17" xfId="34" applyFont="1" applyBorder="1" applyAlignment="1">
      <alignment horizontal="center" vertical="center"/>
    </xf>
    <xf numFmtId="0" fontId="55" fillId="3" borderId="17" xfId="34" applyFont="1" applyFill="1" applyBorder="1" applyAlignment="1">
      <alignment horizontal="center" vertical="center"/>
    </xf>
    <xf numFmtId="0" fontId="55" fillId="0" borderId="20" xfId="34" applyFont="1" applyBorder="1" applyAlignment="1">
      <alignment horizontal="center" vertical="center"/>
    </xf>
    <xf numFmtId="164" fontId="8" fillId="3" borderId="23" xfId="1" applyNumberFormat="1" applyFont="1" applyFill="1" applyBorder="1" applyAlignment="1">
      <alignment horizontal="center" vertical="center" wrapText="1"/>
    </xf>
    <xf numFmtId="0" fontId="31" fillId="0" borderId="14" xfId="1" applyFont="1" applyFill="1" applyBorder="1" applyAlignment="1">
      <alignment horizontal="center" vertical="center" wrapText="1" readingOrder="1"/>
    </xf>
    <xf numFmtId="0" fontId="31" fillId="0" borderId="17" xfId="1" applyFont="1" applyFill="1" applyBorder="1" applyAlignment="1">
      <alignment horizontal="center" vertical="center" wrapText="1" readingOrder="1"/>
    </xf>
    <xf numFmtId="0" fontId="31" fillId="0" borderId="20" xfId="1" applyFont="1" applyFill="1" applyBorder="1" applyAlignment="1">
      <alignment horizontal="center" vertical="center" wrapText="1" readingOrder="1"/>
    </xf>
    <xf numFmtId="0" fontId="15" fillId="3" borderId="38" xfId="1" applyFont="1" applyFill="1" applyBorder="1" applyAlignment="1">
      <alignment horizontal="center" vertical="center" wrapText="1"/>
    </xf>
    <xf numFmtId="0" fontId="14" fillId="3" borderId="38" xfId="1" applyFont="1" applyFill="1" applyBorder="1" applyAlignment="1">
      <alignment horizontal="center" vertical="center" wrapText="1" readingOrder="1"/>
    </xf>
    <xf numFmtId="49" fontId="14" fillId="6" borderId="41" xfId="1" applyNumberFormat="1" applyFont="1" applyFill="1" applyBorder="1" applyAlignment="1">
      <alignment horizontal="center" vertical="center" readingOrder="1"/>
    </xf>
    <xf numFmtId="0" fontId="14" fillId="3" borderId="23" xfId="1" applyFont="1" applyFill="1" applyBorder="1" applyAlignment="1">
      <alignment horizontal="center" vertical="center" wrapText="1" readingOrder="1"/>
    </xf>
    <xf numFmtId="0" fontId="31" fillId="3" borderId="56" xfId="34" applyFont="1" applyFill="1" applyBorder="1" applyAlignment="1">
      <alignment horizontal="center" wrapText="1" readingOrder="2"/>
    </xf>
    <xf numFmtId="0" fontId="27" fillId="3" borderId="28" xfId="19" applyFont="1" applyFill="1" applyBorder="1" applyAlignment="1">
      <alignment horizontal="center" vertical="top" wrapText="1" readingOrder="1"/>
    </xf>
    <xf numFmtId="0" fontId="14" fillId="6" borderId="0" xfId="24" applyFont="1" applyFill="1" applyAlignment="1">
      <alignment horizontal="left" vertical="center"/>
    </xf>
    <xf numFmtId="0" fontId="4" fillId="6" borderId="0" xfId="4" applyFont="1" applyFill="1" applyAlignment="1">
      <alignment horizontal="center" vertical="center"/>
    </xf>
    <xf numFmtId="0" fontId="14" fillId="6" borderId="0" xfId="24" applyFont="1" applyFill="1" applyAlignment="1">
      <alignment horizontal="left"/>
    </xf>
    <xf numFmtId="0" fontId="32" fillId="6" borderId="13" xfId="0" applyFont="1" applyFill="1" applyBorder="1" applyAlignment="1">
      <alignment horizontal="center" vertical="center" readingOrder="2"/>
    </xf>
    <xf numFmtId="0" fontId="39" fillId="6" borderId="15" xfId="0" applyFont="1" applyFill="1" applyBorder="1" applyAlignment="1">
      <alignment horizontal="center" vertical="center"/>
    </xf>
    <xf numFmtId="0" fontId="39" fillId="0" borderId="18" xfId="0" applyFont="1" applyBorder="1" applyAlignment="1">
      <alignment horizontal="center" vertical="center"/>
    </xf>
    <xf numFmtId="0" fontId="33" fillId="6" borderId="13" xfId="0" applyFont="1" applyFill="1" applyBorder="1" applyAlignment="1">
      <alignment horizontal="center" vertical="center" readingOrder="2"/>
    </xf>
    <xf numFmtId="0" fontId="48" fillId="3" borderId="16" xfId="0" applyFont="1" applyFill="1" applyBorder="1" applyAlignment="1">
      <alignment horizontal="center" vertical="center" readingOrder="2"/>
    </xf>
    <xf numFmtId="0" fontId="48" fillId="6" borderId="16" xfId="0" applyFont="1" applyFill="1" applyBorder="1" applyAlignment="1">
      <alignment horizontal="center" vertical="center" readingOrder="2"/>
    </xf>
    <xf numFmtId="0" fontId="48" fillId="6" borderId="19" xfId="0" applyFont="1" applyFill="1" applyBorder="1" applyAlignment="1">
      <alignment horizontal="center" vertical="center" readingOrder="2"/>
    </xf>
    <xf numFmtId="0" fontId="50" fillId="3" borderId="18" xfId="0" applyFont="1" applyFill="1" applyBorder="1" applyAlignment="1">
      <alignment horizontal="center" vertical="center"/>
    </xf>
    <xf numFmtId="0" fontId="50" fillId="6" borderId="18" xfId="0" applyFont="1" applyFill="1" applyBorder="1" applyAlignment="1">
      <alignment horizontal="center" vertical="center"/>
    </xf>
    <xf numFmtId="0" fontId="50" fillId="6" borderId="21" xfId="0" applyFont="1" applyFill="1" applyBorder="1" applyAlignment="1">
      <alignment horizontal="center" vertical="center"/>
    </xf>
    <xf numFmtId="0" fontId="14" fillId="6" borderId="41" xfId="17" applyFont="1" applyFill="1" applyBorder="1" applyAlignment="1">
      <alignment horizontal="left" vertical="center" wrapText="1" indent="1" readingOrder="1"/>
    </xf>
    <xf numFmtId="49" fontId="4" fillId="3" borderId="45" xfId="1" applyNumberFormat="1" applyFont="1" applyFill="1" applyBorder="1" applyAlignment="1">
      <alignment horizontal="center" vertical="center" wrapText="1" readingOrder="2"/>
    </xf>
    <xf numFmtId="49" fontId="14" fillId="3" borderId="44" xfId="1" applyNumberFormat="1" applyFont="1" applyFill="1" applyBorder="1" applyAlignment="1">
      <alignment horizontal="center" vertical="center" wrapText="1" readingOrder="1"/>
    </xf>
    <xf numFmtId="0" fontId="14" fillId="3" borderId="44" xfId="1" applyFont="1" applyFill="1" applyBorder="1" applyAlignment="1">
      <alignment horizontal="center" vertical="center" wrapText="1" readingOrder="1"/>
    </xf>
    <xf numFmtId="3" fontId="14" fillId="3" borderId="17" xfId="18" applyNumberFormat="1" applyFont="1" applyFill="1" applyBorder="1">
      <alignment horizontal="right" vertical="center" indent="1"/>
    </xf>
    <xf numFmtId="3" fontId="14" fillId="3" borderId="53" xfId="18" applyNumberFormat="1" applyFont="1" applyFill="1" applyBorder="1">
      <alignment horizontal="right" vertical="center" indent="1"/>
    </xf>
    <xf numFmtId="0" fontId="4" fillId="6" borderId="50" xfId="17" applyFont="1" applyFill="1" applyBorder="1" applyAlignment="1">
      <alignment horizontal="center" vertical="center" wrapText="1" readingOrder="2"/>
    </xf>
    <xf numFmtId="3" fontId="1" fillId="6" borderId="49" xfId="18" applyNumberFormat="1" applyFont="1" applyFill="1" applyBorder="1">
      <alignment horizontal="right" vertical="center" indent="1"/>
    </xf>
    <xf numFmtId="164" fontId="1" fillId="6" borderId="49" xfId="16" applyNumberFormat="1" applyFont="1" applyFill="1" applyBorder="1">
      <alignment horizontal="right" vertical="center" indent="1"/>
    </xf>
    <xf numFmtId="3" fontId="14" fillId="6" borderId="49" xfId="18" applyNumberFormat="1" applyFont="1" applyFill="1" applyBorder="1">
      <alignment horizontal="right" vertical="center" indent="1"/>
    </xf>
    <xf numFmtId="164" fontId="14" fillId="6" borderId="49" xfId="16" applyNumberFormat="1" applyFont="1" applyFill="1" applyBorder="1">
      <alignment horizontal="right" vertical="center" indent="1"/>
    </xf>
    <xf numFmtId="0" fontId="14" fillId="6" borderId="51" xfId="17" applyFont="1" applyFill="1" applyBorder="1" applyAlignment="1">
      <alignment horizontal="center" vertical="center" wrapText="1" readingOrder="1"/>
    </xf>
    <xf numFmtId="0" fontId="31" fillId="7" borderId="57" xfId="0" applyFont="1" applyFill="1" applyBorder="1" applyAlignment="1">
      <alignment horizontal="left" vertical="center" wrapText="1" indent="1"/>
    </xf>
    <xf numFmtId="0" fontId="31" fillId="0" borderId="57" xfId="0" applyFont="1" applyBorder="1" applyAlignment="1">
      <alignment horizontal="left" vertical="center" wrapText="1" indent="1"/>
    </xf>
    <xf numFmtId="0" fontId="31" fillId="7" borderId="58" xfId="0" applyFont="1" applyFill="1" applyBorder="1" applyAlignment="1">
      <alignment horizontal="left" vertical="center" wrapText="1" indent="1"/>
    </xf>
    <xf numFmtId="0" fontId="56" fillId="7" borderId="59" xfId="0" applyFont="1" applyFill="1" applyBorder="1" applyAlignment="1">
      <alignment horizontal="center" vertical="top" wrapText="1"/>
    </xf>
    <xf numFmtId="0" fontId="56" fillId="7" borderId="60" xfId="0" applyFont="1" applyFill="1" applyBorder="1" applyAlignment="1">
      <alignment horizontal="center" vertical="top" wrapText="1"/>
    </xf>
    <xf numFmtId="3" fontId="1" fillId="3" borderId="11" xfId="18" applyNumberFormat="1" applyFont="1" applyFill="1" applyBorder="1">
      <alignment horizontal="right" vertical="center" indent="1"/>
    </xf>
    <xf numFmtId="164" fontId="1" fillId="3" borderId="11" xfId="16" applyNumberFormat="1" applyFont="1" applyFill="1" applyBorder="1">
      <alignment horizontal="right" vertical="center" indent="1"/>
    </xf>
    <xf numFmtId="0" fontId="31" fillId="0" borderId="14" xfId="34" applyFont="1" applyBorder="1" applyAlignment="1">
      <alignment horizontal="right" vertical="center" indent="1"/>
    </xf>
    <xf numFmtId="0" fontId="31" fillId="0" borderId="17" xfId="34" applyFont="1" applyBorder="1" applyAlignment="1">
      <alignment horizontal="right" vertical="center" indent="1"/>
    </xf>
    <xf numFmtId="0" fontId="31" fillId="3" borderId="17" xfId="34" applyFont="1" applyFill="1" applyBorder="1" applyAlignment="1">
      <alignment horizontal="right" vertical="center" indent="1"/>
    </xf>
    <xf numFmtId="0" fontId="31" fillId="0" borderId="20" xfId="34" applyFont="1" applyBorder="1" applyAlignment="1">
      <alignment horizontal="right" vertical="center" indent="1"/>
    </xf>
    <xf numFmtId="0" fontId="14" fillId="3" borderId="14" xfId="1" applyFont="1" applyFill="1" applyBorder="1" applyAlignment="1">
      <alignment horizontal="right" vertical="center" indent="1" readingOrder="1"/>
    </xf>
    <xf numFmtId="0" fontId="14" fillId="3" borderId="9" xfId="1" applyFont="1" applyFill="1" applyBorder="1" applyAlignment="1">
      <alignment horizontal="center" vertical="center" wrapText="1" readingOrder="1"/>
    </xf>
    <xf numFmtId="164" fontId="14" fillId="6" borderId="11" xfId="17" applyNumberFormat="1" applyFont="1" applyFill="1" applyBorder="1" applyAlignment="1">
      <alignment horizontal="left" vertical="center" wrapText="1" indent="1" readingOrder="1"/>
    </xf>
    <xf numFmtId="0" fontId="14" fillId="3" borderId="8" xfId="1" applyFont="1" applyFill="1" applyBorder="1" applyAlignment="1">
      <alignment horizontal="right" vertical="center" indent="1" readingOrder="1"/>
    </xf>
    <xf numFmtId="0" fontId="56" fillId="7" borderId="59" xfId="0" applyFont="1" applyFill="1" applyBorder="1" applyAlignment="1">
      <alignment horizontal="center" vertical="top" wrapText="1" readingOrder="2"/>
    </xf>
    <xf numFmtId="0" fontId="56" fillId="7" borderId="60" xfId="0" applyFont="1" applyFill="1" applyBorder="1" applyAlignment="1">
      <alignment horizontal="center" vertical="top" wrapText="1" readingOrder="2"/>
    </xf>
    <xf numFmtId="0" fontId="57" fillId="7" borderId="60" xfId="0" applyFont="1" applyFill="1" applyBorder="1" applyAlignment="1">
      <alignment horizontal="center" vertical="top" wrapText="1"/>
    </xf>
    <xf numFmtId="49" fontId="4" fillId="3" borderId="40" xfId="1" applyNumberFormat="1" applyFont="1" applyFill="1" applyBorder="1" applyAlignment="1">
      <alignment horizontal="center" vertical="center" readingOrder="2"/>
    </xf>
    <xf numFmtId="49" fontId="14" fillId="3" borderId="41" xfId="1" applyNumberFormat="1" applyFont="1" applyFill="1" applyBorder="1" applyAlignment="1">
      <alignment horizontal="center" vertical="center" readingOrder="1"/>
    </xf>
    <xf numFmtId="3" fontId="1" fillId="6" borderId="14" xfId="1" applyNumberFormat="1" applyFont="1" applyFill="1" applyBorder="1" applyAlignment="1">
      <alignment horizontal="right" vertical="center" indent="1" readingOrder="1"/>
    </xf>
    <xf numFmtId="0" fontId="39" fillId="0" borderId="8" xfId="34" applyFont="1" applyBorder="1" applyAlignment="1">
      <alignment horizontal="center" vertical="center" readingOrder="2"/>
    </xf>
    <xf numFmtId="0" fontId="55" fillId="0" borderId="8" xfId="34" applyFont="1" applyBorder="1" applyAlignment="1">
      <alignment horizontal="center" vertical="center"/>
    </xf>
    <xf numFmtId="0" fontId="39" fillId="0" borderId="11" xfId="34" applyFont="1" applyBorder="1" applyAlignment="1">
      <alignment horizontal="center" vertical="center" readingOrder="2"/>
    </xf>
    <xf numFmtId="0" fontId="55" fillId="0" borderId="11" xfId="34" applyFont="1" applyBorder="1" applyAlignment="1">
      <alignment horizontal="center" vertical="center"/>
    </xf>
    <xf numFmtId="3" fontId="14" fillId="3" borderId="11" xfId="18" applyNumberFormat="1" applyFont="1" applyFill="1" applyBorder="1">
      <alignment horizontal="right" vertical="center" indent="1"/>
    </xf>
    <xf numFmtId="164" fontId="14" fillId="3" borderId="11" xfId="16" applyNumberFormat="1" applyFont="1" applyFill="1" applyBorder="1">
      <alignment horizontal="right" vertical="center" indent="1"/>
    </xf>
    <xf numFmtId="0" fontId="58" fillId="0" borderId="0" xfId="1" applyFont="1" applyBorder="1" applyAlignment="1">
      <alignment horizontal="center" vertical="top" wrapText="1" readingOrder="2"/>
    </xf>
    <xf numFmtId="0" fontId="1" fillId="0" borderId="0" xfId="1" applyBorder="1" applyAlignment="1">
      <alignment vertical="top" wrapText="1"/>
    </xf>
    <xf numFmtId="0" fontId="16" fillId="0" borderId="0" xfId="1" applyFont="1" applyBorder="1" applyAlignment="1">
      <alignment horizontal="center" vertical="top" wrapText="1" readingOrder="1"/>
    </xf>
    <xf numFmtId="0" fontId="59" fillId="0" borderId="0" xfId="1" applyFont="1" applyBorder="1" applyAlignment="1">
      <alignment horizontal="center" vertical="top" wrapText="1" readingOrder="2"/>
    </xf>
    <xf numFmtId="0" fontId="60" fillId="0" borderId="0" xfId="1" applyFont="1" applyBorder="1" applyAlignment="1">
      <alignment horizontal="center" vertical="top" wrapText="1" readingOrder="2"/>
    </xf>
    <xf numFmtId="0" fontId="4" fillId="0" borderId="0" xfId="1" applyFont="1" applyBorder="1" applyAlignment="1">
      <alignment horizontal="center" vertical="top" wrapText="1" readingOrder="1"/>
    </xf>
    <xf numFmtId="0" fontId="61" fillId="0" borderId="0" xfId="1" applyFont="1" applyBorder="1" applyAlignment="1">
      <alignment horizontal="center" vertical="top" wrapText="1" readingOrder="2"/>
    </xf>
    <xf numFmtId="0" fontId="14" fillId="0" borderId="0" xfId="1" applyFont="1" applyBorder="1" applyAlignment="1">
      <alignment horizontal="center" vertical="top" wrapText="1"/>
    </xf>
    <xf numFmtId="0" fontId="62" fillId="0" borderId="0" xfId="1" applyFont="1" applyBorder="1" applyAlignment="1">
      <alignment horizontal="justify" vertical="top" wrapText="1" readingOrder="2"/>
    </xf>
    <xf numFmtId="0" fontId="63" fillId="0" borderId="0" xfId="1" applyFont="1" applyBorder="1" applyAlignment="1">
      <alignment horizontal="center" vertical="top" wrapText="1" readingOrder="2"/>
    </xf>
    <xf numFmtId="0" fontId="64" fillId="0" borderId="0" xfId="1" applyFont="1" applyBorder="1" applyAlignment="1">
      <alignment horizontal="left" vertical="top" wrapText="1" readingOrder="1"/>
    </xf>
    <xf numFmtId="0" fontId="4" fillId="0" borderId="0" xfId="1" applyFont="1" applyBorder="1" applyAlignment="1">
      <alignment horizontal="justify" vertical="top" wrapText="1" readingOrder="2"/>
    </xf>
    <xf numFmtId="0" fontId="64" fillId="0" borderId="0" xfId="1" applyFont="1" applyBorder="1" applyAlignment="1">
      <alignment horizontal="left" vertical="top" wrapText="1" readingOrder="2"/>
    </xf>
    <xf numFmtId="0" fontId="16" fillId="0" borderId="0" xfId="1" applyFont="1" applyBorder="1" applyAlignment="1">
      <alignment horizontal="left" vertical="top" wrapText="1" readingOrder="1"/>
    </xf>
    <xf numFmtId="0" fontId="13" fillId="0" borderId="0" xfId="1" applyFont="1" applyBorder="1" applyAlignment="1">
      <alignment horizontal="justify" vertical="top" wrapText="1" readingOrder="2"/>
    </xf>
    <xf numFmtId="0" fontId="4" fillId="0" borderId="0" xfId="1" applyFont="1" applyFill="1" applyBorder="1" applyAlignment="1">
      <alignment horizontal="center" vertical="center" wrapText="1" readingOrder="2"/>
    </xf>
    <xf numFmtId="0" fontId="12" fillId="0" borderId="0" xfId="1" applyFont="1" applyFill="1" applyBorder="1" applyAlignment="1">
      <alignment horizontal="center" vertical="center" wrapText="1" readingOrder="2"/>
    </xf>
    <xf numFmtId="0" fontId="65" fillId="0" borderId="0" xfId="1" applyFont="1" applyFill="1" applyBorder="1" applyAlignment="1">
      <alignment horizontal="center" vertical="center" wrapText="1" readingOrder="2"/>
    </xf>
    <xf numFmtId="0" fontId="66" fillId="0" borderId="0" xfId="1" applyFont="1" applyFill="1" applyBorder="1"/>
    <xf numFmtId="0" fontId="67" fillId="0" borderId="0" xfId="1" applyFont="1" applyFill="1" applyBorder="1" applyAlignment="1">
      <alignment horizontal="center" vertical="center" readingOrder="2"/>
    </xf>
    <xf numFmtId="0" fontId="1" fillId="0" borderId="0" xfId="1" applyAlignment="1">
      <alignment vertical="center" readingOrder="1"/>
    </xf>
    <xf numFmtId="49" fontId="1" fillId="0" borderId="0" xfId="1" applyNumberFormat="1" applyAlignment="1">
      <alignment vertical="center" readingOrder="1"/>
    </xf>
    <xf numFmtId="49" fontId="1" fillId="0" borderId="0" xfId="1" applyNumberFormat="1" applyAlignment="1">
      <alignment vertical="center"/>
    </xf>
    <xf numFmtId="0" fontId="1" fillId="0" borderId="0" xfId="1" applyBorder="1" applyAlignment="1">
      <alignment vertical="center"/>
    </xf>
    <xf numFmtId="0" fontId="1" fillId="0" borderId="67" xfId="50" applyFont="1" applyBorder="1" applyAlignment="1">
      <alignment horizontal="left" vertical="center" wrapText="1" indent="1"/>
    </xf>
    <xf numFmtId="0" fontId="5" fillId="0" borderId="67" xfId="1" applyFont="1" applyBorder="1" applyAlignment="1">
      <alignment horizontal="center" vertical="top" wrapText="1" readingOrder="1"/>
    </xf>
    <xf numFmtId="49" fontId="5" fillId="0" borderId="67" xfId="1" applyNumberFormat="1" applyFont="1" applyBorder="1" applyAlignment="1">
      <alignment horizontal="center" vertical="top" wrapText="1" readingOrder="1"/>
    </xf>
    <xf numFmtId="0" fontId="14" fillId="0" borderId="67" xfId="1" applyFont="1" applyBorder="1" applyAlignment="1">
      <alignment horizontal="right" vertical="top" wrapText="1" indent="1" readingOrder="2"/>
    </xf>
    <xf numFmtId="0" fontId="1" fillId="0" borderId="68" xfId="50" applyFont="1" applyBorder="1" applyAlignment="1">
      <alignment horizontal="left" vertical="center" wrapText="1" indent="1"/>
    </xf>
    <xf numFmtId="0" fontId="5" fillId="0" borderId="68" xfId="1" applyFont="1" applyBorder="1" applyAlignment="1">
      <alignment horizontal="center" vertical="top" wrapText="1" readingOrder="1"/>
    </xf>
    <xf numFmtId="49" fontId="5" fillId="0" borderId="68" xfId="1" applyNumberFormat="1" applyFont="1" applyBorder="1" applyAlignment="1">
      <alignment horizontal="center" vertical="top" wrapText="1" readingOrder="1"/>
    </xf>
    <xf numFmtId="0" fontId="14" fillId="0" borderId="68" xfId="1" applyFont="1" applyBorder="1" applyAlignment="1">
      <alignment horizontal="right" vertical="top" wrapText="1" indent="1" readingOrder="2"/>
    </xf>
    <xf numFmtId="0" fontId="69" fillId="0" borderId="68" xfId="0" applyFont="1" applyBorder="1" applyAlignment="1">
      <alignment horizontal="center" vertical="center" wrapText="1"/>
    </xf>
    <xf numFmtId="16" fontId="70" fillId="0" borderId="68" xfId="1" applyNumberFormat="1" applyFont="1" applyBorder="1" applyAlignment="1">
      <alignment horizontal="center" vertical="top" wrapText="1" readingOrder="1"/>
    </xf>
    <xf numFmtId="49" fontId="70" fillId="0" borderId="68" xfId="1" applyNumberFormat="1" applyFont="1" applyBorder="1" applyAlignment="1">
      <alignment horizontal="center" vertical="top" wrapText="1" readingOrder="1"/>
    </xf>
    <xf numFmtId="0" fontId="71" fillId="0" borderId="68" xfId="1" applyFont="1" applyBorder="1" applyAlignment="1">
      <alignment horizontal="center" vertical="center" readingOrder="2"/>
    </xf>
    <xf numFmtId="0" fontId="47" fillId="0" borderId="0" xfId="0" applyFont="1" applyAlignment="1">
      <alignment vertical="center"/>
    </xf>
    <xf numFmtId="0" fontId="72" fillId="0" borderId="68" xfId="0" applyFont="1" applyBorder="1" applyAlignment="1">
      <alignment horizontal="center" vertical="center" wrapText="1"/>
    </xf>
    <xf numFmtId="0" fontId="73" fillId="0" borderId="68" xfId="1" applyFont="1" applyBorder="1" applyAlignment="1">
      <alignment horizontal="center" vertical="center" wrapText="1" readingOrder="1"/>
    </xf>
    <xf numFmtId="49" fontId="73" fillId="0" borderId="68" xfId="1" applyNumberFormat="1" applyFont="1" applyBorder="1" applyAlignment="1">
      <alignment vertical="center" wrapText="1" readingOrder="1"/>
    </xf>
    <xf numFmtId="0" fontId="74" fillId="0" borderId="68" xfId="1" applyFont="1" applyBorder="1" applyAlignment="1">
      <alignment horizontal="center" vertical="top" readingOrder="2"/>
    </xf>
    <xf numFmtId="0" fontId="14" fillId="0" borderId="68" xfId="1" applyFont="1" applyBorder="1" applyAlignment="1">
      <alignment horizontal="right" vertical="center" wrapText="1" indent="1" readingOrder="2"/>
    </xf>
    <xf numFmtId="0" fontId="1" fillId="0" borderId="68" xfId="0" applyFont="1" applyBorder="1" applyAlignment="1">
      <alignment horizontal="left" vertical="center" wrapText="1" indent="1"/>
    </xf>
    <xf numFmtId="49" fontId="73" fillId="0" borderId="68" xfId="1" applyNumberFormat="1" applyFont="1" applyBorder="1" applyAlignment="1">
      <alignment horizontal="center" vertical="center" wrapText="1" readingOrder="1"/>
    </xf>
    <xf numFmtId="0" fontId="74" fillId="0" borderId="68" xfId="1" applyFont="1" applyBorder="1" applyAlignment="1">
      <alignment horizontal="center" vertical="center" readingOrder="2"/>
    </xf>
    <xf numFmtId="0" fontId="14" fillId="0" borderId="68" xfId="0" applyFont="1" applyBorder="1" applyAlignment="1">
      <alignment horizontal="center" vertical="center" wrapText="1" readingOrder="2"/>
    </xf>
    <xf numFmtId="49" fontId="75" fillId="0" borderId="68" xfId="1" applyNumberFormat="1" applyFont="1" applyBorder="1" applyAlignment="1">
      <alignment vertical="center" wrapText="1" readingOrder="1"/>
    </xf>
    <xf numFmtId="0" fontId="76" fillId="0" borderId="68" xfId="1" applyFont="1" applyBorder="1" applyAlignment="1">
      <alignment horizontal="center" vertical="center" wrapText="1" readingOrder="2"/>
    </xf>
    <xf numFmtId="0" fontId="14" fillId="3" borderId="69" xfId="1" applyFont="1" applyFill="1" applyBorder="1" applyAlignment="1">
      <alignment horizontal="center" vertical="center" wrapText="1" readingOrder="2"/>
    </xf>
    <xf numFmtId="0" fontId="14" fillId="3" borderId="69" xfId="1" applyFont="1" applyFill="1" applyBorder="1" applyAlignment="1">
      <alignment horizontal="center" vertical="center" wrapText="1" readingOrder="1"/>
    </xf>
    <xf numFmtId="49" fontId="14" fillId="3" borderId="69" xfId="1" applyNumberFormat="1" applyFont="1" applyFill="1" applyBorder="1" applyAlignment="1">
      <alignment horizontal="center" vertical="center" wrapText="1" readingOrder="1"/>
    </xf>
    <xf numFmtId="49" fontId="13" fillId="0" borderId="0" xfId="1" applyNumberFormat="1" applyFont="1" applyAlignment="1">
      <alignment vertical="center" readingOrder="1"/>
    </xf>
    <xf numFmtId="0" fontId="1" fillId="0" borderId="70" xfId="1" applyBorder="1" applyAlignment="1">
      <alignment vertical="center"/>
    </xf>
    <xf numFmtId="0" fontId="1" fillId="0" borderId="71" xfId="1" applyBorder="1" applyAlignment="1">
      <alignment vertical="center" readingOrder="1"/>
    </xf>
    <xf numFmtId="0" fontId="1" fillId="0" borderId="72" xfId="1" applyBorder="1" applyAlignment="1">
      <alignment vertical="center"/>
    </xf>
    <xf numFmtId="0" fontId="1" fillId="0" borderId="0" xfId="1" applyAlignment="1">
      <alignment vertical="center" wrapText="1"/>
    </xf>
    <xf numFmtId="0" fontId="1" fillId="0" borderId="67" xfId="1" applyBorder="1" applyAlignment="1">
      <alignment horizontal="left" vertical="center" wrapText="1" indent="1"/>
    </xf>
    <xf numFmtId="0" fontId="17" fillId="0" borderId="68" xfId="1" applyFont="1" applyBorder="1" applyAlignment="1">
      <alignment horizontal="left" vertical="top" wrapText="1" indent="1" readingOrder="1"/>
    </xf>
    <xf numFmtId="0" fontId="17" fillId="0" borderId="68" xfId="1" applyFont="1" applyBorder="1" applyAlignment="1">
      <alignment horizontal="left" vertical="center" wrapText="1" indent="1"/>
    </xf>
    <xf numFmtId="0" fontId="17" fillId="0" borderId="68" xfId="1" applyFont="1" applyBorder="1" applyAlignment="1">
      <alignment horizontal="center" vertical="center" wrapText="1" readingOrder="1"/>
    </xf>
    <xf numFmtId="0" fontId="77" fillId="0" borderId="68" xfId="1" applyFont="1" applyBorder="1" applyAlignment="1">
      <alignment horizontal="right" vertical="center" wrapText="1" indent="1" readingOrder="2"/>
    </xf>
    <xf numFmtId="0" fontId="13" fillId="0" borderId="0" xfId="1" applyFont="1" applyAlignment="1">
      <alignment vertical="center" readingOrder="1"/>
    </xf>
    <xf numFmtId="0" fontId="60" fillId="0" borderId="0" xfId="1" applyFont="1" applyAlignment="1">
      <alignment horizontal="center" vertical="center" readingOrder="2"/>
    </xf>
    <xf numFmtId="0" fontId="13" fillId="0" borderId="0" xfId="1" applyFont="1" applyBorder="1" applyAlignment="1">
      <alignment horizontal="right" vertical="top" wrapText="1" readingOrder="2"/>
    </xf>
    <xf numFmtId="0" fontId="2" fillId="0" borderId="0" xfId="1" applyFont="1" applyBorder="1" applyAlignment="1">
      <alignment horizontal="center" vertical="center" wrapText="1" readingOrder="2"/>
    </xf>
    <xf numFmtId="0" fontId="78" fillId="0" borderId="0" xfId="1" applyFont="1" applyBorder="1" applyAlignment="1">
      <alignment horizontal="center" vertical="center" wrapText="1" readingOrder="2"/>
    </xf>
    <xf numFmtId="0" fontId="65" fillId="0" borderId="0" xfId="1" applyFont="1" applyBorder="1" applyAlignment="1">
      <alignment horizontal="center" vertical="center" wrapText="1" readingOrder="2"/>
    </xf>
    <xf numFmtId="0" fontId="79" fillId="0" borderId="0" xfId="1" applyFont="1"/>
    <xf numFmtId="0" fontId="67" fillId="0" borderId="0" xfId="1" applyFont="1" applyBorder="1" applyAlignment="1">
      <alignment horizontal="center" vertical="center" readingOrder="2"/>
    </xf>
    <xf numFmtId="0" fontId="1" fillId="0" borderId="0" xfId="1" applyFont="1" applyFill="1" applyBorder="1"/>
    <xf numFmtId="0" fontId="13" fillId="0" borderId="0" xfId="1" applyFont="1" applyBorder="1" applyAlignment="1">
      <alignment horizontal="left" vertical="top" wrapText="1" readingOrder="1"/>
    </xf>
    <xf numFmtId="0" fontId="16" fillId="0" borderId="0" xfId="1" applyFont="1" applyAlignment="1">
      <alignment vertical="center" wrapText="1"/>
    </xf>
    <xf numFmtId="0" fontId="13" fillId="0" borderId="0" xfId="1" applyFont="1" applyFill="1" applyBorder="1" applyAlignment="1">
      <alignment horizontal="right" vertical="center" wrapText="1" readingOrder="2"/>
    </xf>
    <xf numFmtId="0" fontId="13" fillId="0" borderId="0" xfId="1" applyFont="1" applyAlignment="1">
      <alignment horizontal="right" vertical="center" wrapText="1" readingOrder="2"/>
    </xf>
    <xf numFmtId="49" fontId="15" fillId="0" borderId="0" xfId="1" applyNumberFormat="1" applyFont="1" applyAlignment="1">
      <alignment vertical="top" readingOrder="1"/>
    </xf>
    <xf numFmtId="0" fontId="15" fillId="0" borderId="0" xfId="1" applyFont="1" applyBorder="1" applyAlignment="1">
      <alignment horizontal="left" vertical="top" wrapText="1" readingOrder="1"/>
    </xf>
    <xf numFmtId="0" fontId="13" fillId="0" borderId="0" xfId="1" applyFont="1" applyFill="1" applyBorder="1" applyAlignment="1">
      <alignment horizontal="justify" vertical="top" wrapText="1" readingOrder="2"/>
    </xf>
    <xf numFmtId="0" fontId="13" fillId="0" borderId="0" xfId="1" applyFont="1" applyAlignment="1">
      <alignment horizontal="right" vertical="top" wrapText="1" readingOrder="2"/>
    </xf>
    <xf numFmtId="49" fontId="13" fillId="0" borderId="0" xfId="1" applyNumberFormat="1" applyFont="1" applyAlignment="1">
      <alignment horizontal="right" vertical="top" readingOrder="2"/>
    </xf>
    <xf numFmtId="0" fontId="13" fillId="0" borderId="0" xfId="1" applyFont="1" applyFill="1" applyBorder="1" applyAlignment="1">
      <alignment horizontal="right" vertical="top" wrapText="1" readingOrder="2"/>
    </xf>
    <xf numFmtId="0" fontId="13" fillId="0" borderId="0" xfId="1" applyFont="1" applyFill="1" applyBorder="1" applyAlignment="1">
      <alignment vertical="top" wrapText="1" readingOrder="2"/>
    </xf>
    <xf numFmtId="0" fontId="15" fillId="0" borderId="0" xfId="1" applyFont="1" applyAlignment="1">
      <alignment horizontal="left" vertical="top" wrapText="1" readingOrder="1"/>
    </xf>
    <xf numFmtId="0" fontId="13" fillId="0" borderId="0" xfId="1" applyFont="1" applyBorder="1" applyAlignment="1">
      <alignment vertical="top" wrapText="1" readingOrder="2"/>
    </xf>
    <xf numFmtId="0" fontId="16" fillId="0" borderId="0" xfId="1" applyFont="1" applyAlignment="1">
      <alignment vertical="top" wrapText="1"/>
    </xf>
    <xf numFmtId="0" fontId="12" fillId="0" borderId="0" xfId="1" applyFont="1" applyBorder="1" applyAlignment="1">
      <alignment horizontal="center" vertical="center" wrapText="1" readingOrder="2"/>
    </xf>
    <xf numFmtId="0" fontId="4" fillId="0" borderId="0" xfId="1" applyFont="1" applyAlignment="1">
      <alignment horizontal="right" wrapText="1" readingOrder="2"/>
    </xf>
    <xf numFmtId="0" fontId="1" fillId="0" borderId="0" xfId="1" applyFont="1" applyAlignment="1">
      <alignment horizontal="left" wrapText="1" readingOrder="1"/>
    </xf>
    <xf numFmtId="0" fontId="14" fillId="0" borderId="0" xfId="1" applyFont="1" applyAlignment="1">
      <alignment horizontal="left" wrapText="1" readingOrder="1"/>
    </xf>
    <xf numFmtId="0" fontId="16" fillId="0" borderId="0" xfId="1" applyFont="1" applyAlignment="1">
      <alignment horizontal="left" wrapText="1" readingOrder="1"/>
    </xf>
    <xf numFmtId="0" fontId="1" fillId="0" borderId="0" xfId="1" applyFont="1" applyAlignment="1">
      <alignment vertical="center"/>
    </xf>
    <xf numFmtId="0" fontId="64" fillId="0" borderId="0" xfId="1" applyFont="1" applyBorder="1" applyAlignment="1">
      <alignment horizontal="left" vertical="center" wrapText="1" readingOrder="1"/>
    </xf>
    <xf numFmtId="0" fontId="1" fillId="0" borderId="0" xfId="1" applyFont="1" applyAlignment="1">
      <alignment vertical="top" wrapText="1" readingOrder="1"/>
    </xf>
    <xf numFmtId="0" fontId="4" fillId="0" borderId="0" xfId="1" applyFont="1" applyAlignment="1">
      <alignment vertical="top" wrapText="1" readingOrder="2"/>
    </xf>
    <xf numFmtId="0" fontId="1" fillId="0" borderId="0" xfId="1" applyFont="1" applyAlignment="1">
      <alignment horizontal="left" vertical="top" wrapText="1" indent="1" readingOrder="1"/>
    </xf>
    <xf numFmtId="0" fontId="72" fillId="0" borderId="0" xfId="1" applyFont="1" applyBorder="1" applyAlignment="1">
      <alignment horizontal="center" vertical="center" wrapText="1" readingOrder="2"/>
    </xf>
    <xf numFmtId="0" fontId="81" fillId="0" borderId="0" xfId="1" applyFont="1" applyAlignment="1">
      <alignment horizontal="right" vertical="center" readingOrder="2"/>
    </xf>
    <xf numFmtId="0" fontId="1" fillId="3" borderId="76" xfId="1" applyFont="1" applyFill="1" applyBorder="1" applyAlignment="1">
      <alignment horizontal="center" vertical="center" wrapText="1" readingOrder="1"/>
    </xf>
    <xf numFmtId="0" fontId="27" fillId="3" borderId="76" xfId="1" applyFont="1" applyFill="1" applyBorder="1" applyAlignment="1">
      <alignment horizontal="left" vertical="center" wrapText="1" readingOrder="1"/>
    </xf>
    <xf numFmtId="0" fontId="82" fillId="3" borderId="76" xfId="1" applyFont="1" applyFill="1" applyBorder="1" applyAlignment="1">
      <alignment horizontal="right" vertical="center" wrapText="1" readingOrder="2"/>
    </xf>
    <xf numFmtId="0" fontId="81" fillId="3" borderId="76" xfId="1" applyFont="1" applyFill="1" applyBorder="1" applyAlignment="1">
      <alignment horizontal="center" vertical="center" wrapText="1" readingOrder="2"/>
    </xf>
    <xf numFmtId="0" fontId="83" fillId="3" borderId="76" xfId="1" applyFont="1" applyFill="1" applyBorder="1" applyAlignment="1">
      <alignment horizontal="right" vertical="center" wrapText="1" readingOrder="2"/>
    </xf>
    <xf numFmtId="0" fontId="1" fillId="3" borderId="76" xfId="1" applyFont="1" applyFill="1" applyBorder="1" applyAlignment="1">
      <alignment horizontal="left" vertical="center" wrapText="1" readingOrder="1"/>
    </xf>
    <xf numFmtId="0" fontId="17" fillId="3" borderId="76" xfId="1" applyFont="1" applyFill="1" applyBorder="1" applyAlignment="1">
      <alignment horizontal="center" vertical="center" wrapText="1" readingOrder="1"/>
    </xf>
    <xf numFmtId="0" fontId="82" fillId="3" borderId="76" xfId="1" applyFont="1" applyFill="1" applyBorder="1" applyAlignment="1">
      <alignment horizontal="center" vertical="center" wrapText="1" readingOrder="2"/>
    </xf>
    <xf numFmtId="0" fontId="82" fillId="0" borderId="0" xfId="1" applyFont="1" applyAlignment="1">
      <alignment vertical="center" wrapText="1" readingOrder="2"/>
    </xf>
    <xf numFmtId="0" fontId="84" fillId="0" borderId="0" xfId="1" applyFont="1" applyAlignment="1">
      <alignment vertical="center" readingOrder="2"/>
    </xf>
    <xf numFmtId="0" fontId="86" fillId="0" borderId="79" xfId="0" applyFont="1" applyBorder="1" applyAlignment="1">
      <alignment horizontal="left" vertical="center" wrapText="1" indent="1"/>
    </xf>
    <xf numFmtId="0" fontId="86" fillId="7" borderId="80" xfId="0" applyFont="1" applyFill="1" applyBorder="1" applyAlignment="1">
      <alignment horizontal="left" vertical="center" wrapText="1" indent="1"/>
    </xf>
    <xf numFmtId="0" fontId="86" fillId="0" borderId="80" xfId="0" applyFont="1" applyBorder="1" applyAlignment="1">
      <alignment horizontal="left" vertical="center" wrapText="1" indent="1"/>
    </xf>
    <xf numFmtId="0" fontId="86" fillId="7" borderId="60" xfId="0" applyFont="1" applyFill="1" applyBorder="1" applyAlignment="1">
      <alignment horizontal="left" vertical="center" wrapText="1" indent="1"/>
    </xf>
    <xf numFmtId="0" fontId="39" fillId="0" borderId="17" xfId="34" applyFont="1" applyBorder="1" applyAlignment="1">
      <alignment horizontal="right" vertical="center" indent="1"/>
    </xf>
    <xf numFmtId="0" fontId="39" fillId="0" borderId="20" xfId="34" applyFont="1" applyBorder="1" applyAlignment="1">
      <alignment horizontal="right" vertical="center" indent="1"/>
    </xf>
    <xf numFmtId="0" fontId="86" fillId="0" borderId="61" xfId="0" applyFont="1" applyBorder="1" applyAlignment="1">
      <alignment horizontal="left" vertical="center" wrapText="1" indent="1"/>
    </xf>
    <xf numFmtId="0" fontId="86" fillId="7" borderId="0" xfId="0" applyFont="1" applyFill="1" applyAlignment="1">
      <alignment horizontal="left" vertical="center" wrapText="1" indent="1"/>
    </xf>
    <xf numFmtId="0" fontId="86" fillId="0" borderId="0" xfId="0" applyFont="1" applyAlignment="1">
      <alignment horizontal="left" vertical="center" wrapText="1" indent="1"/>
    </xf>
    <xf numFmtId="3" fontId="39" fillId="3" borderId="28" xfId="1" applyNumberFormat="1" applyFont="1" applyFill="1" applyBorder="1" applyAlignment="1">
      <alignment horizontal="right" vertical="center" indent="1" readingOrder="1"/>
    </xf>
    <xf numFmtId="0" fontId="4" fillId="0" borderId="83" xfId="17" applyFont="1" applyFill="1" applyBorder="1" applyAlignment="1">
      <alignment horizontal="center" vertical="center" wrapText="1" readingOrder="2"/>
    </xf>
    <xf numFmtId="164" fontId="1" fillId="0" borderId="81" xfId="18" applyNumberFormat="1" applyFont="1" applyFill="1" applyBorder="1">
      <alignment horizontal="right" vertical="center" indent="1"/>
    </xf>
    <xf numFmtId="0" fontId="14" fillId="0" borderId="82" xfId="17" applyFont="1" applyFill="1" applyBorder="1" applyAlignment="1">
      <alignment horizontal="center" vertical="center" wrapText="1" readingOrder="1"/>
    </xf>
    <xf numFmtId="3" fontId="1" fillId="0" borderId="81" xfId="18" applyNumberFormat="1" applyFont="1" applyFill="1" applyBorder="1">
      <alignment horizontal="right" vertical="center" indent="1"/>
    </xf>
    <xf numFmtId="164" fontId="1" fillId="0" borderId="81" xfId="16" applyNumberFormat="1" applyFont="1" applyFill="1" applyBorder="1">
      <alignment horizontal="right" vertical="center" indent="1"/>
    </xf>
    <xf numFmtId="3" fontId="14" fillId="0" borderId="81" xfId="18" applyNumberFormat="1" applyFont="1" applyFill="1" applyBorder="1">
      <alignment horizontal="right" vertical="center" indent="1"/>
    </xf>
    <xf numFmtId="164" fontId="14" fillId="0" borderId="81" xfId="16" applyNumberFormat="1" applyFont="1" applyFill="1" applyBorder="1">
      <alignment horizontal="right" vertical="center" indent="1"/>
    </xf>
    <xf numFmtId="0" fontId="4" fillId="6" borderId="0" xfId="1" applyFont="1" applyFill="1" applyAlignment="1">
      <alignment horizontal="center" vertical="center" readingOrder="2"/>
    </xf>
    <xf numFmtId="164" fontId="1" fillId="0" borderId="11" xfId="18" applyNumberFormat="1" applyFont="1" applyFill="1" applyBorder="1">
      <alignment horizontal="right" vertical="center" indent="1"/>
    </xf>
    <xf numFmtId="0" fontId="51" fillId="3" borderId="38" xfId="1" applyFont="1" applyFill="1" applyBorder="1" applyAlignment="1">
      <alignment horizontal="center" vertical="top" wrapText="1" readingOrder="1"/>
    </xf>
    <xf numFmtId="3" fontId="31" fillId="0" borderId="81" xfId="1" applyNumberFormat="1" applyFont="1" applyFill="1" applyBorder="1" applyAlignment="1">
      <alignment horizontal="right" vertical="center" indent="1" readingOrder="1"/>
    </xf>
    <xf numFmtId="3" fontId="39" fillId="0" borderId="81" xfId="1" applyNumberFormat="1" applyFont="1" applyFill="1" applyBorder="1" applyAlignment="1">
      <alignment horizontal="right" vertical="center" indent="1" readingOrder="1"/>
    </xf>
    <xf numFmtId="3" fontId="39" fillId="0" borderId="62" xfId="1" applyNumberFormat="1" applyFont="1" applyFill="1" applyBorder="1" applyAlignment="1">
      <alignment horizontal="right" vertical="center" indent="1" readingOrder="1"/>
    </xf>
    <xf numFmtId="3" fontId="39" fillId="0" borderId="64" xfId="1" applyNumberFormat="1" applyFont="1" applyFill="1" applyBorder="1" applyAlignment="1">
      <alignment horizontal="right" vertical="center" indent="1" readingOrder="1"/>
    </xf>
    <xf numFmtId="3" fontId="39" fillId="6" borderId="55" xfId="1" applyNumberFormat="1" applyFont="1" applyFill="1" applyBorder="1" applyAlignment="1">
      <alignment horizontal="right" vertical="center" indent="1" readingOrder="1"/>
    </xf>
    <xf numFmtId="0" fontId="14" fillId="6" borderId="55" xfId="1" applyFont="1" applyFill="1" applyBorder="1" applyAlignment="1">
      <alignment horizontal="left" vertical="center" wrapText="1" indent="1" readingOrder="1"/>
    </xf>
    <xf numFmtId="0" fontId="67" fillId="6" borderId="0" xfId="1" applyFont="1" applyFill="1" applyBorder="1" applyAlignment="1">
      <alignment horizontal="center" vertical="center" readingOrder="2"/>
    </xf>
    <xf numFmtId="0" fontId="66" fillId="6" borderId="0" xfId="1" applyFont="1" applyFill="1" applyBorder="1"/>
    <xf numFmtId="0" fontId="93" fillId="6" borderId="0" xfId="0" applyFont="1" applyFill="1" applyAlignment="1">
      <alignment horizontal="center" vertical="center" readingOrder="2"/>
    </xf>
    <xf numFmtId="0" fontId="12" fillId="6" borderId="0" xfId="1" applyFont="1" applyFill="1" applyBorder="1" applyAlignment="1">
      <alignment horizontal="center" vertical="center" wrapText="1" readingOrder="2"/>
    </xf>
    <xf numFmtId="0" fontId="64" fillId="6" borderId="0" xfId="1" applyFont="1" applyFill="1" applyBorder="1" applyAlignment="1">
      <alignment horizontal="left" vertical="top" wrapText="1" readingOrder="1"/>
    </xf>
    <xf numFmtId="0" fontId="13" fillId="6" borderId="0" xfId="1" applyFont="1" applyFill="1" applyBorder="1" applyAlignment="1">
      <alignment horizontal="justify" vertical="top" wrapText="1" readingOrder="2"/>
    </xf>
    <xf numFmtId="0" fontId="60" fillId="6" borderId="0" xfId="1" applyFont="1" applyFill="1" applyBorder="1" applyAlignment="1">
      <alignment horizontal="center" vertical="top" wrapText="1" readingOrder="2"/>
    </xf>
    <xf numFmtId="0" fontId="92" fillId="6" borderId="0" xfId="0" applyFont="1" applyFill="1" applyAlignment="1">
      <alignment horizontal="center" vertical="center" readingOrder="2"/>
    </xf>
    <xf numFmtId="0" fontId="58" fillId="6" borderId="0" xfId="1" applyFont="1" applyFill="1" applyBorder="1" applyAlignment="1">
      <alignment horizontal="center" vertical="top" wrapText="1" readingOrder="2"/>
    </xf>
    <xf numFmtId="0" fontId="1" fillId="6" borderId="0" xfId="1" applyFill="1" applyBorder="1" applyAlignment="1">
      <alignment vertical="top" wrapText="1"/>
    </xf>
    <xf numFmtId="0" fontId="94" fillId="6" borderId="0" xfId="0" applyFont="1" applyFill="1" applyAlignment="1">
      <alignment horizontal="right" vertical="center" readingOrder="2"/>
    </xf>
    <xf numFmtId="0" fontId="91" fillId="6" borderId="0" xfId="0" applyFont="1" applyFill="1" applyAlignment="1">
      <alignment vertical="center" readingOrder="1"/>
    </xf>
    <xf numFmtId="0" fontId="95" fillId="6" borderId="0" xfId="0" applyFont="1" applyFill="1"/>
    <xf numFmtId="49" fontId="91" fillId="6" borderId="0" xfId="0" applyNumberFormat="1" applyFont="1" applyFill="1" applyAlignment="1">
      <alignment horizontal="left"/>
    </xf>
    <xf numFmtId="0" fontId="5" fillId="0" borderId="68" xfId="1" applyFont="1" applyBorder="1" applyAlignment="1">
      <alignment horizontal="center" vertical="center" wrapText="1" readingOrder="1"/>
    </xf>
    <xf numFmtId="0" fontId="4" fillId="3" borderId="7" xfId="1" applyFont="1" applyFill="1" applyBorder="1" applyAlignment="1">
      <alignment horizontal="center" vertical="center" wrapText="1" readingOrder="2"/>
    </xf>
    <xf numFmtId="0" fontId="14" fillId="3" borderId="12" xfId="1" applyFont="1" applyFill="1" applyBorder="1" applyAlignment="1">
      <alignment horizontal="center" vertical="center" readingOrder="1"/>
    </xf>
    <xf numFmtId="0" fontId="4" fillId="3" borderId="16" xfId="1" applyFont="1" applyFill="1" applyBorder="1" applyAlignment="1">
      <alignment horizontal="center" vertical="center" wrapText="1" readingOrder="2"/>
    </xf>
    <xf numFmtId="0" fontId="14" fillId="6" borderId="9" xfId="1" applyFont="1" applyFill="1" applyBorder="1" applyAlignment="1">
      <alignment horizontal="center" vertical="center" readingOrder="1"/>
    </xf>
    <xf numFmtId="0" fontId="14" fillId="3" borderId="20" xfId="1" applyFont="1" applyFill="1" applyBorder="1" applyAlignment="1">
      <alignment horizontal="center" vertical="center" wrapText="1" readingOrder="2"/>
    </xf>
    <xf numFmtId="0" fontId="4" fillId="6" borderId="39" xfId="1" applyFont="1" applyFill="1" applyBorder="1" applyAlignment="1">
      <alignment horizontal="center" vertical="center" readingOrder="2"/>
    </xf>
    <xf numFmtId="0" fontId="14" fillId="3" borderId="23" xfId="1" applyFont="1" applyFill="1" applyBorder="1" applyAlignment="1">
      <alignment horizontal="center" vertical="center" wrapText="1" readingOrder="1"/>
    </xf>
    <xf numFmtId="0" fontId="14" fillId="3" borderId="41" xfId="1" applyFont="1" applyFill="1" applyBorder="1" applyAlignment="1">
      <alignment horizontal="center" vertical="center" readingOrder="1"/>
    </xf>
    <xf numFmtId="0" fontId="4" fillId="0" borderId="66" xfId="17" applyFont="1" applyFill="1" applyBorder="1" applyAlignment="1">
      <alignment horizontal="center" vertical="center" wrapText="1" readingOrder="2"/>
    </xf>
    <xf numFmtId="3" fontId="14" fillId="0" borderId="62" xfId="17" applyNumberFormat="1" applyFont="1" applyFill="1" applyBorder="1" applyAlignment="1">
      <alignment horizontal="right" vertical="center" indent="1"/>
    </xf>
    <xf numFmtId="164" fontId="14" fillId="0" borderId="62" xfId="17" applyNumberFormat="1" applyFont="1" applyFill="1" applyBorder="1" applyAlignment="1">
      <alignment horizontal="right" vertical="center" indent="1"/>
    </xf>
    <xf numFmtId="0" fontId="14" fillId="0" borderId="65" xfId="17" applyFont="1" applyFill="1" applyBorder="1" applyAlignment="1">
      <alignment horizontal="center" vertical="center" wrapText="1" readingOrder="1"/>
    </xf>
    <xf numFmtId="0" fontId="32" fillId="0" borderId="13" xfId="1" applyFont="1" applyFill="1" applyBorder="1" applyAlignment="1">
      <alignment horizontal="right" vertical="center" indent="1" readingOrder="2"/>
    </xf>
    <xf numFmtId="0" fontId="32" fillId="0" borderId="16" xfId="1" applyFont="1" applyFill="1" applyBorder="1" applyAlignment="1">
      <alignment horizontal="right" vertical="center" indent="1" readingOrder="2"/>
    </xf>
    <xf numFmtId="0" fontId="32" fillId="0" borderId="7" xfId="1" applyFont="1" applyFill="1" applyBorder="1" applyAlignment="1">
      <alignment horizontal="center" vertical="center" wrapText="1" readingOrder="2"/>
    </xf>
    <xf numFmtId="0" fontId="31" fillId="0" borderId="9" xfId="1" applyFont="1" applyFill="1" applyBorder="1" applyAlignment="1">
      <alignment horizontal="center" vertical="center" wrapText="1" readingOrder="1"/>
    </xf>
    <xf numFmtId="0" fontId="32" fillId="6" borderId="40" xfId="1" applyFont="1" applyFill="1" applyBorder="1" applyAlignment="1">
      <alignment horizontal="center" vertical="center" wrapText="1" readingOrder="2"/>
    </xf>
    <xf numFmtId="0" fontId="39" fillId="6" borderId="41" xfId="1" applyFont="1" applyFill="1" applyBorder="1" applyAlignment="1">
      <alignment horizontal="center" vertical="center" wrapText="1" readingOrder="1"/>
    </xf>
    <xf numFmtId="0" fontId="32" fillId="6" borderId="10" xfId="1" applyFont="1" applyFill="1" applyBorder="1" applyAlignment="1">
      <alignment horizontal="center" vertical="center" wrapText="1" readingOrder="2"/>
    </xf>
    <xf numFmtId="0" fontId="39" fillId="6" borderId="12" xfId="1" applyFont="1" applyFill="1" applyBorder="1" applyAlignment="1">
      <alignment horizontal="center" vertical="center" wrapText="1" readingOrder="1"/>
    </xf>
    <xf numFmtId="0" fontId="32" fillId="0" borderId="14" xfId="1" applyFont="1" applyFill="1" applyBorder="1" applyAlignment="1">
      <alignment horizontal="center" vertical="center" wrapText="1" readingOrder="2"/>
    </xf>
    <xf numFmtId="0" fontId="32" fillId="0" borderId="17" xfId="1" applyFont="1" applyFill="1" applyBorder="1" applyAlignment="1">
      <alignment horizontal="center" vertical="center" wrapText="1" readingOrder="2"/>
    </xf>
    <xf numFmtId="0" fontId="32" fillId="0" borderId="20" xfId="1" applyFont="1" applyFill="1" applyBorder="1" applyAlignment="1">
      <alignment horizontal="center" vertical="center" wrapText="1" readingOrder="2"/>
    </xf>
    <xf numFmtId="0" fontId="4" fillId="0" borderId="7" xfId="1" applyFont="1" applyFill="1" applyBorder="1" applyAlignment="1">
      <alignment horizontal="right" vertical="center" wrapText="1" indent="1" readingOrder="2"/>
    </xf>
    <xf numFmtId="0" fontId="4" fillId="3" borderId="16" xfId="1" applyFont="1" applyFill="1" applyBorder="1" applyAlignment="1">
      <alignment horizontal="right" vertical="center" wrapText="1" indent="1" readingOrder="2"/>
    </xf>
    <xf numFmtId="0" fontId="4" fillId="0" borderId="16" xfId="1" applyFont="1" applyFill="1" applyBorder="1" applyAlignment="1">
      <alignment horizontal="right" vertical="center" wrapText="1" indent="1" readingOrder="2"/>
    </xf>
    <xf numFmtId="0" fontId="4" fillId="3" borderId="19" xfId="1" applyFont="1" applyFill="1" applyBorder="1" applyAlignment="1">
      <alignment horizontal="right" vertical="center" wrapText="1" indent="1" readingOrder="2"/>
    </xf>
    <xf numFmtId="0" fontId="4" fillId="0" borderId="13" xfId="1" applyFont="1" applyFill="1" applyBorder="1" applyAlignment="1">
      <alignment horizontal="right" vertical="center" wrapText="1" indent="1" readingOrder="2"/>
    </xf>
    <xf numFmtId="0" fontId="4" fillId="0" borderId="19" xfId="1" applyFont="1" applyFill="1" applyBorder="1" applyAlignment="1">
      <alignment horizontal="right" vertical="center" wrapText="1" indent="1" readingOrder="2"/>
    </xf>
    <xf numFmtId="0" fontId="4" fillId="0" borderId="22" xfId="1" applyFont="1" applyFill="1" applyBorder="1" applyAlignment="1">
      <alignment horizontal="right" vertical="center" wrapText="1" indent="1" readingOrder="2"/>
    </xf>
    <xf numFmtId="0" fontId="4" fillId="0" borderId="39" xfId="1" applyFont="1" applyFill="1" applyBorder="1" applyAlignment="1">
      <alignment horizontal="right" vertical="center" wrapText="1" indent="1" readingOrder="2"/>
    </xf>
    <xf numFmtId="0" fontId="1" fillId="0" borderId="37" xfId="1" applyFont="1" applyFill="1" applyBorder="1" applyAlignment="1">
      <alignment horizontal="left" vertical="center" wrapText="1" indent="1" readingOrder="1"/>
    </xf>
    <xf numFmtId="0" fontId="4" fillId="0" borderId="83" xfId="1" applyFont="1" applyFill="1" applyBorder="1" applyAlignment="1">
      <alignment horizontal="right" vertical="center" wrapText="1" indent="1" readingOrder="2"/>
    </xf>
    <xf numFmtId="0" fontId="4" fillId="6" borderId="16" xfId="1" applyFont="1" applyFill="1" applyBorder="1" applyAlignment="1">
      <alignment horizontal="right" vertical="center" wrapText="1" indent="1" readingOrder="2"/>
    </xf>
    <xf numFmtId="3" fontId="31" fillId="0" borderId="84" xfId="1" applyNumberFormat="1" applyFont="1" applyFill="1" applyBorder="1" applyAlignment="1">
      <alignment horizontal="right" vertical="center" indent="1" readingOrder="1"/>
    </xf>
    <xf numFmtId="3" fontId="39" fillId="0" borderId="84" xfId="1" applyNumberFormat="1" applyFont="1" applyFill="1" applyBorder="1" applyAlignment="1">
      <alignment horizontal="right" vertical="center" indent="1" readingOrder="1"/>
    </xf>
    <xf numFmtId="0" fontId="86" fillId="0" borderId="85" xfId="0" applyFont="1" applyBorder="1" applyAlignment="1">
      <alignment horizontal="left" vertical="center" wrapText="1" indent="1"/>
    </xf>
    <xf numFmtId="0" fontId="1" fillId="0" borderId="15" xfId="1" applyNumberFormat="1" applyFont="1" applyBorder="1" applyAlignment="1">
      <alignment horizontal="center" vertical="center" wrapText="1" readingOrder="1"/>
    </xf>
    <xf numFmtId="0" fontId="4" fillId="0" borderId="13" xfId="1" applyFont="1" applyFill="1" applyBorder="1" applyAlignment="1">
      <alignment horizontal="center" vertical="center" wrapText="1" readingOrder="2"/>
    </xf>
    <xf numFmtId="0" fontId="4" fillId="0" borderId="16" xfId="1" applyFont="1" applyFill="1" applyBorder="1" applyAlignment="1">
      <alignment horizontal="center" vertical="center" wrapText="1" readingOrder="2"/>
    </xf>
    <xf numFmtId="0" fontId="4" fillId="0" borderId="19" xfId="1" applyFont="1" applyFill="1" applyBorder="1" applyAlignment="1">
      <alignment horizontal="center" vertical="center" wrapText="1" readingOrder="2"/>
    </xf>
    <xf numFmtId="0" fontId="4" fillId="0" borderId="13" xfId="1" applyNumberFormat="1" applyFont="1" applyBorder="1" applyAlignment="1">
      <alignment horizontal="center" vertical="center" wrapText="1" readingOrder="2"/>
    </xf>
    <xf numFmtId="0" fontId="1" fillId="0" borderId="18" xfId="1" applyFont="1" applyFill="1" applyBorder="1" applyAlignment="1">
      <alignment horizontal="center" vertical="center" wrapText="1" readingOrder="1"/>
    </xf>
    <xf numFmtId="0" fontId="1" fillId="0" borderId="21" xfId="1" applyFont="1" applyFill="1" applyBorder="1" applyAlignment="1">
      <alignment horizontal="center" vertical="center" wrapText="1" readingOrder="1"/>
    </xf>
    <xf numFmtId="0" fontId="14" fillId="6" borderId="8" xfId="1" applyFont="1" applyFill="1" applyBorder="1" applyAlignment="1">
      <alignment horizontal="center" vertical="center" wrapText="1" readingOrder="2"/>
    </xf>
    <xf numFmtId="0" fontId="14" fillId="6" borderId="17" xfId="1" applyFont="1" applyFill="1" applyBorder="1" applyAlignment="1">
      <alignment horizontal="center" vertical="center" wrapText="1" readingOrder="2"/>
    </xf>
    <xf numFmtId="0" fontId="14" fillId="3" borderId="17" xfId="1" applyFont="1" applyFill="1" applyBorder="1" applyAlignment="1">
      <alignment horizontal="center" vertical="center" wrapText="1" readingOrder="2"/>
    </xf>
    <xf numFmtId="164" fontId="8" fillId="6" borderId="8" xfId="1" applyNumberFormat="1" applyFont="1" applyFill="1" applyBorder="1" applyAlignment="1">
      <alignment horizontal="center" vertical="center" readingOrder="1"/>
    </xf>
    <xf numFmtId="164" fontId="8" fillId="6" borderId="17" xfId="1" applyNumberFormat="1" applyFont="1" applyFill="1" applyBorder="1" applyAlignment="1">
      <alignment horizontal="center" vertical="center" readingOrder="1"/>
    </xf>
    <xf numFmtId="164" fontId="8" fillId="3" borderId="17" xfId="1" applyNumberFormat="1" applyFont="1" applyFill="1" applyBorder="1" applyAlignment="1">
      <alignment horizontal="center" vertical="center" readingOrder="1"/>
    </xf>
    <xf numFmtId="164" fontId="8" fillId="3" borderId="20" xfId="1" applyNumberFormat="1" applyFont="1" applyFill="1" applyBorder="1" applyAlignment="1">
      <alignment horizontal="center" vertical="center" readingOrder="1"/>
    </xf>
    <xf numFmtId="0" fontId="14" fillId="6" borderId="14" xfId="1" applyFont="1" applyFill="1" applyBorder="1" applyAlignment="1">
      <alignment horizontal="center" vertical="center" wrapText="1" readingOrder="2"/>
    </xf>
    <xf numFmtId="3" fontId="39" fillId="3" borderId="8" xfId="34" applyNumberFormat="1" applyFont="1" applyFill="1" applyBorder="1" applyAlignment="1">
      <alignment horizontal="right" vertical="center" indent="1"/>
    </xf>
    <xf numFmtId="3" fontId="39" fillId="3" borderId="17" xfId="34" applyNumberFormat="1" applyFont="1" applyFill="1" applyBorder="1" applyAlignment="1">
      <alignment horizontal="right" vertical="center" indent="1"/>
    </xf>
    <xf numFmtId="3" fontId="39" fillId="3" borderId="11" xfId="34" applyNumberFormat="1" applyFont="1" applyFill="1" applyBorder="1" applyAlignment="1">
      <alignment horizontal="right" vertical="center" indent="1"/>
    </xf>
    <xf numFmtId="0" fontId="4" fillId="0" borderId="40" xfId="17" applyFont="1" applyFill="1" applyBorder="1" applyAlignment="1">
      <alignment horizontal="center" vertical="center" wrapText="1" readingOrder="1"/>
    </xf>
    <xf numFmtId="0" fontId="1" fillId="0" borderId="15" xfId="17" applyFont="1" applyFill="1" applyBorder="1" applyAlignment="1">
      <alignment horizontal="center" vertical="center" wrapText="1" readingOrder="1"/>
    </xf>
    <xf numFmtId="0" fontId="1" fillId="3" borderId="18" xfId="17" applyFont="1" applyFill="1" applyBorder="1" applyAlignment="1">
      <alignment horizontal="center" vertical="center" wrapText="1" readingOrder="1"/>
    </xf>
    <xf numFmtId="0" fontId="1" fillId="0" borderId="18" xfId="17" applyFont="1" applyFill="1" applyBorder="1" applyAlignment="1">
      <alignment horizontal="center" vertical="center" wrapText="1" readingOrder="1"/>
    </xf>
    <xf numFmtId="0" fontId="1" fillId="3" borderId="21" xfId="17" applyFont="1" applyFill="1" applyBorder="1" applyAlignment="1">
      <alignment horizontal="center" vertical="center" wrapText="1" readingOrder="1"/>
    </xf>
    <xf numFmtId="0" fontId="4" fillId="0" borderId="63" xfId="17" applyFont="1" applyFill="1" applyBorder="1" applyAlignment="1">
      <alignment horizontal="center" vertical="center" wrapText="1" readingOrder="2"/>
    </xf>
    <xf numFmtId="0" fontId="1" fillId="0" borderId="9" xfId="17" applyFont="1" applyFill="1" applyBorder="1" applyAlignment="1">
      <alignment horizontal="center" vertical="center" wrapText="1" readingOrder="1"/>
    </xf>
    <xf numFmtId="0" fontId="1" fillId="3" borderId="12" xfId="17" applyFont="1" applyFill="1" applyBorder="1" applyAlignment="1">
      <alignment horizontal="center" vertical="center" wrapText="1" readingOrder="1"/>
    </xf>
    <xf numFmtId="0" fontId="1" fillId="0" borderId="12" xfId="17" applyFont="1" applyFill="1" applyBorder="1" applyAlignment="1">
      <alignment horizontal="center" vertical="center" wrapText="1" readingOrder="1"/>
    </xf>
    <xf numFmtId="0" fontId="1" fillId="3" borderId="24" xfId="17" applyFont="1" applyFill="1" applyBorder="1" applyAlignment="1">
      <alignment horizontal="center" vertical="center" wrapText="1" readingOrder="1"/>
    </xf>
    <xf numFmtId="0" fontId="14" fillId="6" borderId="18" xfId="1" applyFont="1" applyFill="1" applyBorder="1" applyAlignment="1">
      <alignment horizontal="center" vertical="center" wrapText="1" readingOrder="2"/>
    </xf>
    <xf numFmtId="0" fontId="14" fillId="3" borderId="18" xfId="1" applyFont="1" applyFill="1" applyBorder="1" applyAlignment="1">
      <alignment horizontal="center" vertical="center" wrapText="1" readingOrder="2"/>
    </xf>
    <xf numFmtId="0" fontId="14" fillId="3" borderId="12" xfId="1" applyFont="1" applyFill="1" applyBorder="1" applyAlignment="1">
      <alignment horizontal="center" vertical="center" wrapText="1" readingOrder="2"/>
    </xf>
    <xf numFmtId="164" fontId="8" fillId="3" borderId="11" xfId="1" applyNumberFormat="1" applyFont="1" applyFill="1" applyBorder="1" applyAlignment="1">
      <alignment horizontal="center" vertical="center" readingOrder="1"/>
    </xf>
    <xf numFmtId="3" fontId="14" fillId="3" borderId="14" xfId="1" applyNumberFormat="1" applyFont="1" applyFill="1" applyBorder="1" applyAlignment="1">
      <alignment horizontal="right" vertical="center" indent="1" readingOrder="1"/>
    </xf>
    <xf numFmtId="49" fontId="1" fillId="0" borderId="15" xfId="17" applyNumberFormat="1" applyFont="1" applyFill="1" applyBorder="1" applyAlignment="1">
      <alignment horizontal="center" vertical="center" wrapText="1" readingOrder="1"/>
    </xf>
    <xf numFmtId="49" fontId="1" fillId="0" borderId="37" xfId="17" applyNumberFormat="1" applyFont="1" applyFill="1" applyBorder="1" applyAlignment="1">
      <alignment horizontal="center" vertical="center" wrapText="1" readingOrder="1"/>
    </xf>
    <xf numFmtId="49" fontId="14" fillId="6" borderId="24" xfId="1" applyNumberFormat="1" applyFont="1" applyFill="1" applyBorder="1" applyAlignment="1">
      <alignment horizontal="center" vertical="center" readingOrder="1"/>
    </xf>
    <xf numFmtId="0" fontId="4" fillId="0" borderId="39" xfId="17" applyFont="1" applyFill="1" applyBorder="1" applyAlignment="1">
      <alignment horizontal="center" vertical="center" wrapText="1" readingOrder="2"/>
    </xf>
    <xf numFmtId="0" fontId="1" fillId="0" borderId="37" xfId="17" applyFont="1" applyFill="1" applyBorder="1" applyAlignment="1">
      <alignment horizontal="center" vertical="center" wrapText="1" readingOrder="1"/>
    </xf>
    <xf numFmtId="0" fontId="1" fillId="0" borderId="21" xfId="17" applyFont="1" applyFill="1" applyBorder="1" applyAlignment="1">
      <alignment horizontal="center" vertical="center" wrapText="1" readingOrder="1"/>
    </xf>
    <xf numFmtId="0" fontId="4" fillId="0" borderId="39" xfId="1" applyFont="1" applyFill="1" applyBorder="1" applyAlignment="1">
      <alignment horizontal="center" vertical="center" wrapText="1" readingOrder="2"/>
    </xf>
    <xf numFmtId="0" fontId="4" fillId="3" borderId="13" xfId="1" applyNumberFormat="1" applyFont="1" applyFill="1" applyBorder="1" applyAlignment="1">
      <alignment horizontal="center" vertical="center" wrapText="1" readingOrder="2"/>
    </xf>
    <xf numFmtId="0" fontId="1" fillId="0" borderId="37" xfId="1" applyFont="1" applyFill="1" applyBorder="1" applyAlignment="1">
      <alignment horizontal="center" vertical="center" wrapText="1" readingOrder="1"/>
    </xf>
    <xf numFmtId="0" fontId="1" fillId="3" borderId="15" xfId="1" applyNumberFormat="1" applyFont="1" applyFill="1" applyBorder="1" applyAlignment="1">
      <alignment horizontal="center" vertical="center" wrapText="1" readingOrder="1"/>
    </xf>
    <xf numFmtId="0" fontId="31" fillId="0" borderId="86" xfId="0" applyFont="1" applyBorder="1" applyAlignment="1">
      <alignment horizontal="left" vertical="center" wrapText="1" indent="1"/>
    </xf>
    <xf numFmtId="0" fontId="4" fillId="3" borderId="10" xfId="1" applyFont="1" applyFill="1" applyBorder="1" applyAlignment="1">
      <alignment horizontal="right" vertical="center" wrapText="1" indent="1" readingOrder="2"/>
    </xf>
    <xf numFmtId="0" fontId="1" fillId="3" borderId="18" xfId="1" applyFont="1" applyFill="1" applyBorder="1" applyAlignment="1">
      <alignment horizontal="center" vertical="center" wrapText="1" readingOrder="1"/>
    </xf>
    <xf numFmtId="0" fontId="4" fillId="6" borderId="10" xfId="1" applyFont="1" applyFill="1" applyBorder="1" applyAlignment="1">
      <alignment horizontal="center" vertical="center" wrapText="1" readingOrder="2"/>
    </xf>
    <xf numFmtId="0" fontId="4" fillId="0" borderId="83" xfId="1" applyFont="1" applyFill="1" applyBorder="1" applyAlignment="1">
      <alignment horizontal="center" vertical="center" wrapText="1" readingOrder="2"/>
    </xf>
    <xf numFmtId="0" fontId="1" fillId="0" borderId="9" xfId="1" applyFont="1" applyFill="1" applyBorder="1" applyAlignment="1">
      <alignment horizontal="center" vertical="center" wrapText="1" readingOrder="1"/>
    </xf>
    <xf numFmtId="0" fontId="1" fillId="0" borderId="41" xfId="1" applyFont="1" applyFill="1" applyBorder="1" applyAlignment="1">
      <alignment horizontal="center" vertical="center" wrapText="1" readingOrder="1"/>
    </xf>
    <xf numFmtId="0" fontId="1" fillId="0" borderId="12" xfId="1" applyFont="1" applyFill="1" applyBorder="1" applyAlignment="1">
      <alignment horizontal="center" vertical="center" wrapText="1" readingOrder="1"/>
    </xf>
    <xf numFmtId="3" fontId="15" fillId="0" borderId="28" xfId="1" applyNumberFormat="1" applyFont="1" applyFill="1" applyBorder="1" applyAlignment="1">
      <alignment horizontal="right" vertical="center" indent="1" readingOrder="1"/>
    </xf>
    <xf numFmtId="3" fontId="36" fillId="0" borderId="38" xfId="1" applyNumberFormat="1" applyFont="1" applyFill="1" applyBorder="1" applyAlignment="1">
      <alignment horizontal="right" vertical="center" indent="1" readingOrder="1"/>
    </xf>
    <xf numFmtId="0" fontId="4" fillId="0" borderId="45" xfId="1" applyFont="1" applyFill="1" applyBorder="1" applyAlignment="1">
      <alignment horizontal="right" vertical="center" wrapText="1" indent="1" readingOrder="2"/>
    </xf>
    <xf numFmtId="0" fontId="4" fillId="0" borderId="40" xfId="1" applyFont="1" applyFill="1" applyBorder="1" applyAlignment="1">
      <alignment horizontal="right" vertical="center" wrapText="1" indent="1" readingOrder="2"/>
    </xf>
    <xf numFmtId="0" fontId="4" fillId="0" borderId="83" xfId="1" applyNumberFormat="1" applyFont="1" applyBorder="1" applyAlignment="1">
      <alignment horizontal="center" vertical="center" wrapText="1" readingOrder="2"/>
    </xf>
    <xf numFmtId="0" fontId="4" fillId="3" borderId="40" xfId="1" applyNumberFormat="1" applyFont="1" applyFill="1" applyBorder="1" applyAlignment="1">
      <alignment horizontal="center" vertical="center" wrapText="1" readingOrder="2"/>
    </xf>
    <xf numFmtId="0" fontId="1" fillId="0" borderId="82" xfId="1" applyNumberFormat="1" applyFont="1" applyBorder="1" applyAlignment="1">
      <alignment horizontal="center" vertical="center" wrapText="1" readingOrder="1"/>
    </xf>
    <xf numFmtId="0" fontId="1" fillId="3" borderId="41" xfId="1" applyNumberFormat="1" applyFont="1" applyFill="1" applyBorder="1" applyAlignment="1">
      <alignment horizontal="center" vertical="center" wrapText="1" readingOrder="1"/>
    </xf>
    <xf numFmtId="0" fontId="1" fillId="0" borderId="82" xfId="1" applyFont="1" applyFill="1" applyBorder="1" applyAlignment="1">
      <alignment horizontal="center" vertical="center" wrapText="1" readingOrder="1"/>
    </xf>
    <xf numFmtId="0" fontId="14" fillId="3" borderId="82" xfId="1" applyFont="1" applyFill="1" applyBorder="1" applyAlignment="1">
      <alignment horizontal="center" vertical="center" readingOrder="1"/>
    </xf>
    <xf numFmtId="0" fontId="4" fillId="3" borderId="83" xfId="1" applyFont="1" applyFill="1" applyBorder="1" applyAlignment="1">
      <alignment horizontal="center" vertical="center" readingOrder="2"/>
    </xf>
    <xf numFmtId="3" fontId="1" fillId="6" borderId="38" xfId="1" applyNumberFormat="1" applyFont="1" applyFill="1" applyBorder="1" applyAlignment="1">
      <alignment horizontal="right" vertical="center" indent="1" readingOrder="1"/>
    </xf>
    <xf numFmtId="3" fontId="14" fillId="6" borderId="38" xfId="1" applyNumberFormat="1" applyFont="1" applyFill="1" applyBorder="1" applyAlignment="1">
      <alignment horizontal="right" vertical="center" indent="1" readingOrder="1"/>
    </xf>
    <xf numFmtId="49" fontId="1" fillId="6" borderId="42" xfId="17" applyNumberFormat="1" applyFont="1" applyFill="1" applyBorder="1" applyAlignment="1">
      <alignment horizontal="center" vertical="center" wrapText="1" readingOrder="1"/>
    </xf>
    <xf numFmtId="49" fontId="1" fillId="0" borderId="42" xfId="17" applyNumberFormat="1" applyFont="1" applyFill="1" applyBorder="1" applyAlignment="1">
      <alignment horizontal="center" vertical="center" wrapText="1" readingOrder="1"/>
    </xf>
    <xf numFmtId="49" fontId="1" fillId="6" borderId="0" xfId="17" applyNumberFormat="1" applyFont="1" applyFill="1" applyBorder="1" applyAlignment="1">
      <alignment horizontal="center" vertical="center" wrapText="1" readingOrder="1"/>
    </xf>
    <xf numFmtId="49" fontId="1" fillId="0" borderId="0" xfId="17" applyNumberFormat="1" applyFont="1" applyFill="1" applyBorder="1" applyAlignment="1">
      <alignment horizontal="center" vertical="center" wrapText="1" readingOrder="1"/>
    </xf>
    <xf numFmtId="49" fontId="4" fillId="6" borderId="42" xfId="17" applyNumberFormat="1" applyFont="1" applyFill="1" applyBorder="1" applyAlignment="1">
      <alignment horizontal="center" vertical="center" wrapText="1" readingOrder="2"/>
    </xf>
    <xf numFmtId="49" fontId="4" fillId="0" borderId="42" xfId="17" applyNumberFormat="1" applyFont="1" applyFill="1" applyBorder="1" applyAlignment="1">
      <alignment horizontal="center" vertical="center" wrapText="1" readingOrder="2"/>
    </xf>
    <xf numFmtId="49" fontId="4" fillId="6" borderId="0" xfId="17" applyNumberFormat="1" applyFont="1" applyFill="1" applyBorder="1" applyAlignment="1">
      <alignment horizontal="center" vertical="center" wrapText="1" readingOrder="2"/>
    </xf>
    <xf numFmtId="49" fontId="4" fillId="0" borderId="0" xfId="17" applyNumberFormat="1" applyFont="1" applyFill="1" applyBorder="1" applyAlignment="1">
      <alignment horizontal="center" vertical="center" wrapText="1" readingOrder="2"/>
    </xf>
    <xf numFmtId="0" fontId="39" fillId="0" borderId="38" xfId="0" applyFont="1" applyBorder="1" applyAlignment="1">
      <alignment horizontal="right" vertical="center" indent="1"/>
    </xf>
    <xf numFmtId="0" fontId="39" fillId="6" borderId="38" xfId="0" applyFont="1" applyFill="1" applyBorder="1" applyAlignment="1">
      <alignment horizontal="right" vertical="center" indent="1"/>
    </xf>
    <xf numFmtId="0" fontId="31" fillId="0" borderId="38" xfId="0" applyFont="1" applyBorder="1" applyAlignment="1">
      <alignment horizontal="right" vertical="center" indent="1"/>
    </xf>
    <xf numFmtId="0" fontId="31" fillId="6" borderId="38" xfId="0" applyFont="1" applyFill="1" applyBorder="1" applyAlignment="1">
      <alignment horizontal="right" vertical="center" indent="1"/>
    </xf>
    <xf numFmtId="0" fontId="39" fillId="0" borderId="39" xfId="1" applyFont="1" applyFill="1" applyBorder="1" applyAlignment="1">
      <alignment horizontal="right" vertical="center" readingOrder="2"/>
    </xf>
    <xf numFmtId="3" fontId="98" fillId="0" borderId="38" xfId="1" applyNumberFormat="1" applyFont="1" applyFill="1" applyBorder="1" applyAlignment="1">
      <alignment horizontal="right" vertical="center" indent="1"/>
    </xf>
    <xf numFmtId="164" fontId="98" fillId="0" borderId="38" xfId="1" applyNumberFormat="1" applyFont="1" applyFill="1" applyBorder="1" applyAlignment="1">
      <alignment horizontal="right" vertical="center" indent="1"/>
    </xf>
    <xf numFmtId="164" fontId="98" fillId="0" borderId="37" xfId="1" applyNumberFormat="1" applyFont="1" applyFill="1" applyBorder="1" applyAlignment="1">
      <alignment horizontal="right" vertical="center" indent="1"/>
    </xf>
    <xf numFmtId="3" fontId="87" fillId="0" borderId="38" xfId="1" applyNumberFormat="1" applyFont="1" applyFill="1" applyBorder="1" applyAlignment="1">
      <alignment horizontal="right" vertical="center" indent="1"/>
    </xf>
    <xf numFmtId="164" fontId="87" fillId="0" borderId="39" xfId="1" applyNumberFormat="1" applyFont="1" applyFill="1" applyBorder="1" applyAlignment="1">
      <alignment horizontal="right" vertical="center" indent="1"/>
    </xf>
    <xf numFmtId="164" fontId="87" fillId="0" borderId="38" xfId="1" applyNumberFormat="1" applyFont="1" applyFill="1" applyBorder="1" applyAlignment="1">
      <alignment horizontal="right" vertical="center" indent="1"/>
    </xf>
    <xf numFmtId="0" fontId="87" fillId="0" borderId="37" xfId="1" applyFont="1" applyFill="1" applyBorder="1" applyAlignment="1">
      <alignment horizontal="center" vertical="center"/>
    </xf>
    <xf numFmtId="3" fontId="38" fillId="3" borderId="11" xfId="0" applyNumberFormat="1" applyFont="1" applyFill="1" applyBorder="1" applyAlignment="1">
      <alignment horizontal="right" vertical="center" indent="1"/>
    </xf>
    <xf numFmtId="164" fontId="38" fillId="3" borderId="11" xfId="0" applyNumberFormat="1" applyFont="1" applyFill="1" applyBorder="1" applyAlignment="1">
      <alignment horizontal="right" vertical="center" indent="1"/>
    </xf>
    <xf numFmtId="3" fontId="39" fillId="3" borderId="11" xfId="0" applyNumberFormat="1" applyFont="1" applyFill="1" applyBorder="1" applyAlignment="1">
      <alignment horizontal="right" vertical="center" indent="1"/>
    </xf>
    <xf numFmtId="164" fontId="39" fillId="3" borderId="11" xfId="0" applyNumberFormat="1" applyFont="1" applyFill="1" applyBorder="1" applyAlignment="1">
      <alignment horizontal="right" vertical="center" indent="1"/>
    </xf>
    <xf numFmtId="0" fontId="39" fillId="3" borderId="12" xfId="0" applyFont="1" applyFill="1" applyBorder="1" applyAlignment="1">
      <alignment horizontal="center" vertical="center"/>
    </xf>
    <xf numFmtId="0" fontId="16" fillId="0" borderId="0" xfId="1" applyFont="1" applyBorder="1" applyAlignment="1">
      <alignment horizontal="justify" vertical="top" wrapText="1" readingOrder="1"/>
    </xf>
    <xf numFmtId="3" fontId="14" fillId="6" borderId="87" xfId="0" applyNumberFormat="1" applyFont="1" applyFill="1" applyBorder="1" applyAlignment="1" applyProtection="1">
      <alignment horizontal="center" vertical="center"/>
    </xf>
    <xf numFmtId="3" fontId="14" fillId="6" borderId="17" xfId="0" applyNumberFormat="1" applyFont="1" applyFill="1" applyBorder="1" applyAlignment="1" applyProtection="1">
      <alignment horizontal="center" vertical="center"/>
    </xf>
    <xf numFmtId="3" fontId="14" fillId="3" borderId="17" xfId="0" applyNumberFormat="1" applyFont="1" applyFill="1" applyBorder="1" applyAlignment="1" applyProtection="1">
      <alignment horizontal="center" vertical="center"/>
    </xf>
    <xf numFmtId="3" fontId="14" fillId="6" borderId="11" xfId="0" applyNumberFormat="1" applyFont="1" applyFill="1" applyBorder="1" applyAlignment="1" applyProtection="1">
      <alignment horizontal="center" vertical="center"/>
    </xf>
    <xf numFmtId="165" fontId="14" fillId="3" borderId="11" xfId="17" applyNumberFormat="1" applyFont="1" applyFill="1" applyBorder="1" applyAlignment="1">
      <alignment horizontal="right" vertical="center" indent="1"/>
    </xf>
    <xf numFmtId="0" fontId="86" fillId="0" borderId="91" xfId="0" applyFont="1" applyBorder="1" applyAlignment="1">
      <alignment horizontal="left" vertical="center" wrapText="1" indent="1"/>
    </xf>
    <xf numFmtId="2" fontId="4" fillId="0" borderId="90" xfId="17" applyNumberFormat="1" applyFont="1" applyFill="1" applyBorder="1" applyAlignment="1">
      <alignment horizontal="right" vertical="center" wrapText="1" indent="1" readingOrder="2"/>
    </xf>
    <xf numFmtId="3" fontId="14" fillId="0" borderId="38" xfId="17" applyNumberFormat="1" applyFont="1" applyFill="1" applyBorder="1" applyAlignment="1">
      <alignment horizontal="left" vertical="center" wrapText="1" indent="1" readingOrder="1"/>
    </xf>
    <xf numFmtId="164" fontId="14" fillId="0" borderId="88" xfId="17" applyNumberFormat="1" applyFont="1" applyFill="1" applyBorder="1" applyAlignment="1">
      <alignment horizontal="left" vertical="center" wrapText="1" indent="1" readingOrder="1"/>
    </xf>
    <xf numFmtId="0" fontId="14" fillId="0" borderId="89" xfId="17" applyFont="1" applyFill="1" applyBorder="1" applyAlignment="1">
      <alignment horizontal="left" vertical="center" wrapText="1" indent="1" readingOrder="1"/>
    </xf>
    <xf numFmtId="2" fontId="4" fillId="3" borderId="10" xfId="17" applyNumberFormat="1" applyFont="1" applyFill="1" applyBorder="1" applyAlignment="1">
      <alignment horizontal="right" vertical="center" wrapText="1" indent="1" readingOrder="2"/>
    </xf>
    <xf numFmtId="164" fontId="14" fillId="3" borderId="11" xfId="17" applyNumberFormat="1" applyFont="1" applyFill="1" applyBorder="1" applyAlignment="1">
      <alignment horizontal="left" vertical="center" wrapText="1" indent="1" readingOrder="1"/>
    </xf>
    <xf numFmtId="3" fontId="37" fillId="0" borderId="38" xfId="1" applyNumberFormat="1" applyFont="1" applyFill="1" applyBorder="1" applyAlignment="1">
      <alignment horizontal="right" vertical="center" indent="1" readingOrder="1"/>
    </xf>
    <xf numFmtId="49" fontId="1" fillId="0" borderId="0" xfId="1" applyNumberFormat="1" applyAlignment="1">
      <alignment vertical="top"/>
    </xf>
    <xf numFmtId="0" fontId="1" fillId="0" borderId="0" xfId="1" applyAlignment="1">
      <alignment vertical="top"/>
    </xf>
    <xf numFmtId="49" fontId="16" fillId="0" borderId="0" xfId="1" applyNumberFormat="1" applyFont="1" applyAlignment="1">
      <alignment vertical="top"/>
    </xf>
    <xf numFmtId="0" fontId="16" fillId="0" borderId="0" xfId="1" applyFont="1" applyAlignment="1">
      <alignment vertical="top"/>
    </xf>
    <xf numFmtId="0" fontId="1" fillId="0" borderId="0" xfId="1" applyFont="1" applyAlignment="1">
      <alignment vertical="top"/>
    </xf>
    <xf numFmtId="0" fontId="1" fillId="0" borderId="0" xfId="1" applyFont="1" applyAlignment="1">
      <alignment horizontal="center" vertical="top"/>
    </xf>
    <xf numFmtId="0" fontId="16" fillId="0" borderId="0" xfId="1" applyFont="1" applyAlignment="1">
      <alignment horizontal="right" vertical="top" readingOrder="2"/>
    </xf>
    <xf numFmtId="0" fontId="16" fillId="0" borderId="0" xfId="1" applyFont="1" applyAlignment="1">
      <alignment vertical="top" readingOrder="2"/>
    </xf>
    <xf numFmtId="0" fontId="31" fillId="0" borderId="0" xfId="1" applyFont="1" applyAlignment="1">
      <alignment vertical="top"/>
    </xf>
    <xf numFmtId="0" fontId="43" fillId="0" borderId="0" xfId="13" applyFont="1" applyAlignment="1">
      <alignment horizontal="right" vertical="top" readingOrder="2"/>
    </xf>
    <xf numFmtId="0" fontId="31" fillId="0" borderId="0" xfId="22" applyFont="1" applyAlignment="1">
      <alignment horizontal="left" vertical="top"/>
    </xf>
    <xf numFmtId="0" fontId="43" fillId="0" borderId="0" xfId="1" applyFont="1" applyAlignment="1">
      <alignment horizontal="right" vertical="top" readingOrder="2"/>
    </xf>
    <xf numFmtId="0" fontId="100" fillId="0" borderId="0" xfId="34" applyFont="1" applyAlignment="1">
      <alignment vertical="top"/>
    </xf>
    <xf numFmtId="0" fontId="39" fillId="3" borderId="18" xfId="0" applyFont="1" applyFill="1" applyBorder="1" applyAlignment="1">
      <alignment horizontal="center" vertical="center"/>
    </xf>
    <xf numFmtId="0" fontId="4" fillId="0" borderId="16" xfId="0" applyFont="1" applyBorder="1" applyAlignment="1">
      <alignment horizontal="center" vertical="center" readingOrder="2"/>
    </xf>
    <xf numFmtId="3" fontId="1" fillId="0" borderId="17" xfId="0" applyNumberFormat="1" applyFont="1" applyBorder="1" applyAlignment="1">
      <alignment horizontal="right" vertical="center" indent="1"/>
    </xf>
    <xf numFmtId="164" fontId="1" fillId="0" borderId="17" xfId="0" applyNumberFormat="1" applyFont="1" applyBorder="1" applyAlignment="1">
      <alignment horizontal="right" vertical="center" indent="1"/>
    </xf>
    <xf numFmtId="3" fontId="14" fillId="0" borderId="17" xfId="0" applyNumberFormat="1" applyFont="1" applyBorder="1" applyAlignment="1">
      <alignment horizontal="right" vertical="center" indent="1"/>
    </xf>
    <xf numFmtId="164" fontId="14" fillId="0" borderId="17" xfId="0" applyNumberFormat="1" applyFont="1" applyBorder="1" applyAlignment="1">
      <alignment horizontal="right" vertical="center" indent="1"/>
    </xf>
    <xf numFmtId="164" fontId="1" fillId="3" borderId="17" xfId="0" applyNumberFormat="1" applyFont="1" applyFill="1" applyBorder="1" applyAlignment="1">
      <alignment horizontal="right" vertical="center" indent="1"/>
    </xf>
    <xf numFmtId="0" fontId="4" fillId="3" borderId="16" xfId="0" applyFont="1" applyFill="1" applyBorder="1" applyAlignment="1">
      <alignment horizontal="center" vertical="center" readingOrder="2"/>
    </xf>
    <xf numFmtId="3" fontId="1" fillId="3" borderId="17" xfId="0" applyNumberFormat="1" applyFont="1" applyFill="1" applyBorder="1" applyAlignment="1">
      <alignment horizontal="right" vertical="center" indent="1"/>
    </xf>
    <xf numFmtId="3" fontId="14" fillId="3" borderId="17" xfId="0" applyNumberFormat="1" applyFont="1" applyFill="1" applyBorder="1" applyAlignment="1">
      <alignment horizontal="right" vertical="center" indent="1"/>
    </xf>
    <xf numFmtId="164" fontId="14" fillId="3" borderId="17" xfId="0" applyNumberFormat="1" applyFont="1" applyFill="1" applyBorder="1" applyAlignment="1">
      <alignment horizontal="right" vertical="center" indent="1"/>
    </xf>
    <xf numFmtId="0" fontId="4" fillId="6" borderId="19" xfId="0" applyFont="1" applyFill="1" applyBorder="1" applyAlignment="1">
      <alignment horizontal="center" vertical="center" readingOrder="2"/>
    </xf>
    <xf numFmtId="3" fontId="1" fillId="6" borderId="20" xfId="0" applyNumberFormat="1" applyFont="1" applyFill="1" applyBorder="1" applyAlignment="1">
      <alignment horizontal="right" vertical="center" indent="1"/>
    </xf>
    <xf numFmtId="164" fontId="1" fillId="6" borderId="20" xfId="0" applyNumberFormat="1" applyFont="1" applyFill="1" applyBorder="1" applyAlignment="1">
      <alignment horizontal="right" vertical="center" indent="1"/>
    </xf>
    <xf numFmtId="3" fontId="14" fillId="6" borderId="20" xfId="0" applyNumberFormat="1" applyFont="1" applyFill="1" applyBorder="1" applyAlignment="1">
      <alignment horizontal="right" vertical="center" indent="1"/>
    </xf>
    <xf numFmtId="164" fontId="14" fillId="6" borderId="20" xfId="0" applyNumberFormat="1" applyFont="1" applyFill="1" applyBorder="1" applyAlignment="1">
      <alignment horizontal="right" vertical="center" indent="1"/>
    </xf>
    <xf numFmtId="0" fontId="39" fillId="6" borderId="21" xfId="0" applyFont="1" applyFill="1" applyBorder="1" applyAlignment="1">
      <alignment horizontal="center" vertical="center"/>
    </xf>
    <xf numFmtId="164" fontId="1" fillId="0" borderId="87" xfId="18" applyNumberFormat="1" applyFont="1" applyFill="1" applyBorder="1">
      <alignment horizontal="right" vertical="center" indent="1"/>
    </xf>
    <xf numFmtId="0" fontId="4" fillId="3" borderId="83" xfId="17" applyFont="1" applyFill="1" applyBorder="1" applyAlignment="1">
      <alignment horizontal="center" vertical="center" wrapText="1" readingOrder="2"/>
    </xf>
    <xf numFmtId="3" fontId="1" fillId="3" borderId="87" xfId="18" applyNumberFormat="1" applyFont="1" applyFill="1" applyBorder="1">
      <alignment horizontal="right" vertical="center" indent="1"/>
    </xf>
    <xf numFmtId="164" fontId="1" fillId="3" borderId="87" xfId="16" applyNumberFormat="1" applyFont="1" applyFill="1" applyBorder="1">
      <alignment horizontal="right" vertical="center" indent="1"/>
    </xf>
    <xf numFmtId="3" fontId="14" fillId="3" borderId="87" xfId="18" applyNumberFormat="1" applyFont="1" applyFill="1" applyBorder="1">
      <alignment horizontal="right" vertical="center" indent="1"/>
    </xf>
    <xf numFmtId="164" fontId="14" fillId="3" borderId="87" xfId="16" applyNumberFormat="1" applyFont="1" applyFill="1" applyBorder="1">
      <alignment horizontal="right" vertical="center" indent="1"/>
    </xf>
    <xf numFmtId="0" fontId="14" fillId="3" borderId="82" xfId="17" applyFont="1" applyFill="1" applyBorder="1" applyAlignment="1">
      <alignment horizontal="center" vertical="center" wrapText="1" readingOrder="1"/>
    </xf>
    <xf numFmtId="0" fontId="4" fillId="6" borderId="16" xfId="17" applyFont="1" applyFill="1" applyBorder="1" applyAlignment="1">
      <alignment horizontal="center" vertical="center" wrapText="1" readingOrder="2"/>
    </xf>
    <xf numFmtId="3" fontId="1" fillId="6" borderId="17" xfId="18" applyNumberFormat="1" applyFont="1" applyFill="1" applyBorder="1">
      <alignment horizontal="right" vertical="center" indent="1"/>
    </xf>
    <xf numFmtId="164" fontId="1" fillId="6" borderId="17" xfId="16" applyNumberFormat="1" applyFont="1" applyFill="1" applyBorder="1">
      <alignment horizontal="right" vertical="center" indent="1"/>
    </xf>
    <xf numFmtId="3" fontId="14" fillId="6" borderId="17" xfId="18" applyNumberFormat="1" applyFont="1" applyFill="1" applyBorder="1">
      <alignment horizontal="right" vertical="center" indent="1"/>
    </xf>
    <xf numFmtId="164" fontId="14" fillId="6" borderId="17" xfId="16" applyNumberFormat="1" applyFont="1" applyFill="1" applyBorder="1">
      <alignment horizontal="right" vertical="center" indent="1"/>
    </xf>
    <xf numFmtId="0" fontId="14" fillId="6" borderId="18" xfId="17" applyFont="1" applyFill="1" applyBorder="1" applyAlignment="1">
      <alignment horizontal="center" vertical="center" wrapText="1" readingOrder="1"/>
    </xf>
    <xf numFmtId="0" fontId="4" fillId="6" borderId="10" xfId="17" applyFont="1" applyFill="1" applyBorder="1" applyAlignment="1">
      <alignment horizontal="center" vertical="center" wrapText="1" readingOrder="2"/>
    </xf>
    <xf numFmtId="3" fontId="1" fillId="6" borderId="11" xfId="18" applyNumberFormat="1" applyFont="1" applyFill="1" applyBorder="1">
      <alignment horizontal="right" vertical="center" indent="1"/>
    </xf>
    <xf numFmtId="164" fontId="1" fillId="6" borderId="11" xfId="16" applyNumberFormat="1" applyFont="1" applyFill="1" applyBorder="1">
      <alignment horizontal="right" vertical="center" indent="1"/>
    </xf>
    <xf numFmtId="3" fontId="14" fillId="6" borderId="11" xfId="18" applyNumberFormat="1" applyFont="1" applyFill="1" applyBorder="1">
      <alignment horizontal="right" vertical="center" indent="1"/>
    </xf>
    <xf numFmtId="164" fontId="14" fillId="6" borderId="11" xfId="16" applyNumberFormat="1" applyFont="1" applyFill="1" applyBorder="1">
      <alignment horizontal="right" vertical="center" indent="1"/>
    </xf>
    <xf numFmtId="0" fontId="14" fillId="6" borderId="12" xfId="17" applyFont="1" applyFill="1" applyBorder="1" applyAlignment="1">
      <alignment horizontal="center" vertical="center" wrapText="1" readingOrder="1"/>
    </xf>
    <xf numFmtId="0" fontId="65" fillId="0" borderId="0" xfId="1" applyFont="1" applyFill="1" applyBorder="1" applyAlignment="1">
      <alignment horizontal="center" vertical="center"/>
    </xf>
    <xf numFmtId="0" fontId="65" fillId="0" borderId="0" xfId="1" applyFont="1" applyFill="1" applyBorder="1" applyAlignment="1">
      <alignment vertical="center"/>
    </xf>
    <xf numFmtId="0" fontId="80" fillId="0" borderId="0" xfId="1" applyFont="1" applyFill="1" applyBorder="1" applyAlignment="1">
      <alignment vertical="center" wrapText="1" readingOrder="2"/>
    </xf>
    <xf numFmtId="164" fontId="1" fillId="0" borderId="0" xfId="1" applyNumberFormat="1" applyFont="1" applyAlignment="1">
      <alignment horizontal="right" vertical="center" indent="1"/>
    </xf>
    <xf numFmtId="0" fontId="32" fillId="3" borderId="10" xfId="0" applyFont="1" applyFill="1" applyBorder="1" applyAlignment="1">
      <alignment horizontal="center" vertical="center" readingOrder="2"/>
    </xf>
    <xf numFmtId="0" fontId="102" fillId="0" borderId="0" xfId="1" applyFont="1" applyBorder="1" applyAlignment="1">
      <alignment horizontal="center" vertical="center" readingOrder="2"/>
    </xf>
    <xf numFmtId="0" fontId="14" fillId="3" borderId="12" xfId="17" applyFont="1" applyFill="1" applyBorder="1" applyAlignment="1">
      <alignment horizontal="center" vertical="center" wrapText="1" readingOrder="1"/>
    </xf>
    <xf numFmtId="3" fontId="103" fillId="0" borderId="94" xfId="0" applyNumberFormat="1" applyFont="1" applyFill="1" applyBorder="1" applyAlignment="1" applyProtection="1">
      <alignment horizontal="right" vertical="center" indent="1"/>
    </xf>
    <xf numFmtId="3" fontId="103" fillId="0" borderId="99" xfId="0" applyNumberFormat="1" applyFont="1" applyFill="1" applyBorder="1" applyAlignment="1" applyProtection="1">
      <alignment horizontal="right" vertical="center" indent="1"/>
    </xf>
    <xf numFmtId="0" fontId="104" fillId="0" borderId="100" xfId="0" applyNumberFormat="1" applyFont="1" applyFill="1" applyBorder="1" applyAlignment="1" applyProtection="1">
      <alignment horizontal="center" vertical="center" wrapText="1" readingOrder="2"/>
    </xf>
    <xf numFmtId="3" fontId="103" fillId="0" borderId="99" xfId="0" applyNumberFormat="1" applyFont="1" applyFill="1" applyBorder="1" applyAlignment="1">
      <alignment horizontal="right" vertical="center" indent="1"/>
    </xf>
    <xf numFmtId="3" fontId="103" fillId="0" borderId="101" xfId="0" applyNumberFormat="1" applyFont="1" applyFill="1" applyBorder="1" applyAlignment="1">
      <alignment horizontal="right" vertical="center" indent="1"/>
    </xf>
    <xf numFmtId="0" fontId="103" fillId="0" borderId="102" xfId="0" applyFont="1" applyFill="1" applyBorder="1" applyAlignment="1">
      <alignment horizontal="center" vertical="center"/>
    </xf>
    <xf numFmtId="0" fontId="104" fillId="0" borderId="100" xfId="0" applyFont="1" applyFill="1" applyBorder="1" applyAlignment="1">
      <alignment horizontal="center" vertical="center"/>
    </xf>
    <xf numFmtId="0" fontId="104" fillId="0" borderId="102" xfId="0" applyFont="1" applyFill="1" applyBorder="1" applyAlignment="1">
      <alignment horizontal="center" vertical="center"/>
    </xf>
    <xf numFmtId="0" fontId="103" fillId="0" borderId="100" xfId="0" applyFont="1" applyFill="1" applyBorder="1" applyAlignment="1">
      <alignment horizontal="center" vertical="center"/>
    </xf>
    <xf numFmtId="0" fontId="104" fillId="0" borderId="97" xfId="0" applyFont="1" applyFill="1" applyBorder="1" applyAlignment="1">
      <alignment horizontal="center" vertical="center"/>
    </xf>
    <xf numFmtId="3" fontId="103" fillId="0" borderId="93" xfId="0" applyNumberFormat="1" applyFont="1" applyFill="1" applyBorder="1" applyAlignment="1">
      <alignment horizontal="right" vertical="center" indent="1"/>
    </xf>
    <xf numFmtId="3" fontId="103" fillId="0" borderId="93" xfId="0" applyNumberFormat="1" applyFont="1" applyFill="1" applyBorder="1" applyAlignment="1" applyProtection="1">
      <alignment horizontal="right" vertical="center" indent="1"/>
    </xf>
    <xf numFmtId="0" fontId="103" fillId="0" borderId="98" xfId="0" applyFont="1" applyFill="1" applyBorder="1" applyAlignment="1">
      <alignment horizontal="center" vertical="center"/>
    </xf>
    <xf numFmtId="0" fontId="104" fillId="3" borderId="96" xfId="0" applyNumberFormat="1" applyFont="1" applyFill="1" applyBorder="1" applyAlignment="1" applyProtection="1">
      <alignment horizontal="center" vertical="center" wrapText="1" readingOrder="2"/>
    </xf>
    <xf numFmtId="3" fontId="103" fillId="3" borderId="103" xfId="0" applyNumberFormat="1" applyFont="1" applyFill="1" applyBorder="1" applyAlignment="1" applyProtection="1">
      <alignment horizontal="right" vertical="center" indent="1"/>
    </xf>
    <xf numFmtId="0" fontId="103" fillId="3" borderId="95" xfId="0" applyNumberFormat="1" applyFont="1" applyFill="1" applyBorder="1" applyAlignment="1" applyProtection="1">
      <alignment horizontal="center" vertical="center" wrapText="1" readingOrder="1"/>
    </xf>
    <xf numFmtId="3" fontId="103" fillId="3" borderId="93" xfId="0" applyNumberFormat="1" applyFont="1" applyFill="1" applyBorder="1" applyAlignment="1" applyProtection="1">
      <alignment horizontal="right" vertical="center" indent="1"/>
    </xf>
    <xf numFmtId="0" fontId="104" fillId="0" borderId="104" xfId="0" applyFont="1" applyFill="1" applyBorder="1" applyAlignment="1">
      <alignment horizontal="center" vertical="center"/>
    </xf>
    <xf numFmtId="3" fontId="103" fillId="0" borderId="104" xfId="0" applyNumberFormat="1" applyFont="1" applyFill="1" applyBorder="1" applyAlignment="1">
      <alignment horizontal="right" vertical="center" indent="1"/>
    </xf>
    <xf numFmtId="164" fontId="103" fillId="0" borderId="104" xfId="0" applyNumberFormat="1" applyFont="1" applyFill="1" applyBorder="1" applyAlignment="1">
      <alignment horizontal="right" vertical="center" indent="1"/>
    </xf>
    <xf numFmtId="0" fontId="103" fillId="0" borderId="104" xfId="0" applyFont="1" applyFill="1" applyBorder="1" applyAlignment="1">
      <alignment horizontal="center" vertical="center"/>
    </xf>
    <xf numFmtId="0" fontId="104" fillId="0" borderId="92" xfId="0" applyFont="1" applyFill="1" applyBorder="1" applyAlignment="1">
      <alignment horizontal="center" vertical="center"/>
    </xf>
    <xf numFmtId="3" fontId="103" fillId="0" borderId="92" xfId="0" applyNumberFormat="1" applyFont="1" applyFill="1" applyBorder="1" applyAlignment="1">
      <alignment horizontal="right" vertical="center" indent="1"/>
    </xf>
    <xf numFmtId="164" fontId="103" fillId="0" borderId="92" xfId="0" applyNumberFormat="1" applyFont="1" applyFill="1" applyBorder="1" applyAlignment="1">
      <alignment horizontal="right" vertical="center" indent="1"/>
    </xf>
    <xf numFmtId="0" fontId="103" fillId="0" borderId="92" xfId="0" applyFont="1" applyFill="1" applyBorder="1" applyAlignment="1">
      <alignment horizontal="center" vertical="center"/>
    </xf>
    <xf numFmtId="3" fontId="103" fillId="6" borderId="93" xfId="0" applyNumberFormat="1" applyFont="1" applyFill="1" applyBorder="1" applyAlignment="1" applyProtection="1">
      <alignment horizontal="right" vertical="center" indent="1"/>
    </xf>
    <xf numFmtId="3" fontId="103" fillId="6" borderId="95" xfId="0" applyNumberFormat="1" applyFont="1" applyFill="1" applyBorder="1" applyAlignment="1" applyProtection="1">
      <alignment horizontal="right" vertical="center" indent="1"/>
    </xf>
    <xf numFmtId="3" fontId="103" fillId="6" borderId="103" xfId="0" applyNumberFormat="1" applyFont="1" applyFill="1" applyBorder="1" applyAlignment="1" applyProtection="1">
      <alignment horizontal="right" vertical="center" indent="1"/>
    </xf>
    <xf numFmtId="0" fontId="105" fillId="0" borderId="102" xfId="0" applyNumberFormat="1" applyFont="1" applyFill="1" applyBorder="1" applyAlignment="1" applyProtection="1">
      <alignment horizontal="right" vertical="center" wrapText="1" indent="1" readingOrder="2"/>
    </xf>
    <xf numFmtId="0" fontId="106" fillId="0" borderId="100" xfId="0" applyNumberFormat="1" applyFont="1" applyFill="1" applyBorder="1" applyAlignment="1" applyProtection="1">
      <alignment horizontal="left" vertical="center" wrapText="1" indent="1" readingOrder="1"/>
    </xf>
    <xf numFmtId="0" fontId="105" fillId="6" borderId="95" xfId="0" applyNumberFormat="1" applyFont="1" applyFill="1" applyBorder="1" applyAlignment="1" applyProtection="1">
      <alignment horizontal="right" vertical="center" wrapText="1" indent="1" readingOrder="2"/>
    </xf>
    <xf numFmtId="0" fontId="106" fillId="6" borderId="96" xfId="0" applyNumberFormat="1" applyFont="1" applyFill="1" applyBorder="1" applyAlignment="1" applyProtection="1">
      <alignment horizontal="left" vertical="center" wrapText="1" indent="1" readingOrder="1"/>
    </xf>
    <xf numFmtId="0" fontId="105" fillId="0" borderId="100" xfId="0" applyNumberFormat="1" applyFont="1" applyFill="1" applyBorder="1" applyAlignment="1" applyProtection="1">
      <alignment horizontal="center" vertical="center" readingOrder="2"/>
    </xf>
    <xf numFmtId="0" fontId="106" fillId="0" borderId="102" xfId="0" applyNumberFormat="1" applyFont="1" applyFill="1" applyBorder="1" applyAlignment="1" applyProtection="1">
      <alignment horizontal="center" vertical="center" readingOrder="1"/>
    </xf>
    <xf numFmtId="0" fontId="105" fillId="0" borderId="96" xfId="0" applyNumberFormat="1" applyFont="1" applyFill="1" applyBorder="1" applyAlignment="1" applyProtection="1">
      <alignment horizontal="center" vertical="center" readingOrder="2"/>
    </xf>
    <xf numFmtId="3" fontId="103" fillId="0" borderId="103" xfId="0" applyNumberFormat="1" applyFont="1" applyFill="1" applyBorder="1" applyAlignment="1">
      <alignment horizontal="right" vertical="center" indent="1"/>
    </xf>
    <xf numFmtId="0" fontId="106" fillId="0" borderId="95" xfId="0" applyNumberFormat="1" applyFont="1" applyFill="1" applyBorder="1" applyAlignment="1" applyProtection="1">
      <alignment horizontal="center" vertical="center" readingOrder="1"/>
    </xf>
    <xf numFmtId="3" fontId="107" fillId="0" borderId="99" xfId="0" applyNumberFormat="1" applyFont="1" applyFill="1" applyBorder="1" applyAlignment="1">
      <alignment horizontal="right" vertical="center" indent="1"/>
    </xf>
    <xf numFmtId="3" fontId="0" fillId="0" borderId="0" xfId="0" applyNumberFormat="1"/>
    <xf numFmtId="0" fontId="4" fillId="0" borderId="100" xfId="0" applyNumberFormat="1" applyFont="1" applyFill="1" applyBorder="1" applyAlignment="1" applyProtection="1">
      <alignment horizontal="right" vertical="center" wrapText="1" indent="1" readingOrder="2"/>
    </xf>
    <xf numFmtId="3" fontId="39" fillId="6" borderId="103" xfId="0" applyNumberFormat="1" applyFont="1" applyFill="1" applyBorder="1" applyAlignment="1" applyProtection="1">
      <alignment horizontal="right" vertical="center" indent="1"/>
    </xf>
    <xf numFmtId="0" fontId="14" fillId="0" borderId="102" xfId="0" applyNumberFormat="1" applyFont="1" applyFill="1" applyBorder="1" applyAlignment="1" applyProtection="1">
      <alignment horizontal="left" vertical="center" wrapText="1" indent="1" readingOrder="1"/>
    </xf>
    <xf numFmtId="0" fontId="14" fillId="3" borderId="12" xfId="17" applyFont="1" applyFill="1" applyBorder="1" applyAlignment="1">
      <alignment horizontal="center" vertical="center" wrapText="1" readingOrder="1"/>
    </xf>
    <xf numFmtId="3" fontId="1" fillId="0" borderId="87" xfId="18" applyNumberFormat="1" applyFont="1" applyFill="1" applyBorder="1">
      <alignment horizontal="right" vertical="center" indent="1"/>
    </xf>
    <xf numFmtId="0" fontId="88" fillId="6" borderId="0" xfId="0" applyFont="1" applyFill="1" applyAlignment="1">
      <alignment horizontal="center" vertical="center" readingOrder="2"/>
    </xf>
    <xf numFmtId="0" fontId="89" fillId="6" borderId="0" xfId="0" applyFont="1" applyFill="1" applyAlignment="1">
      <alignment horizontal="center" vertical="center" readingOrder="1"/>
    </xf>
    <xf numFmtId="0" fontId="91" fillId="6" borderId="0" xfId="0" applyFont="1" applyFill="1" applyAlignment="1">
      <alignment horizontal="center" vertical="center" readingOrder="1"/>
    </xf>
    <xf numFmtId="0" fontId="90" fillId="6" borderId="0" xfId="0" applyFont="1" applyFill="1" applyAlignment="1">
      <alignment horizontal="center" vertical="center" readingOrder="1"/>
    </xf>
    <xf numFmtId="0" fontId="67" fillId="0" borderId="0" xfId="1" applyFont="1" applyFill="1" applyBorder="1" applyAlignment="1">
      <alignment horizontal="center" vertical="center" readingOrder="2"/>
    </xf>
    <xf numFmtId="0" fontId="65" fillId="0" borderId="0" xfId="1" applyFont="1" applyFill="1" applyBorder="1" applyAlignment="1">
      <alignment horizontal="center" vertical="center" wrapText="1" readingOrder="2"/>
    </xf>
    <xf numFmtId="0" fontId="16" fillId="0" borderId="0" xfId="1" applyFont="1" applyBorder="1" applyAlignment="1">
      <alignment horizontal="left" vertical="top" wrapText="1"/>
    </xf>
    <xf numFmtId="0" fontId="1" fillId="0" borderId="0" xfId="1" applyFont="1" applyBorder="1" applyAlignment="1">
      <alignment horizontal="left" vertical="top" wrapText="1"/>
    </xf>
    <xf numFmtId="0" fontId="12" fillId="3" borderId="74" xfId="1" applyFont="1" applyFill="1" applyBorder="1" applyAlignment="1">
      <alignment horizontal="center" vertical="center" readingOrder="2"/>
    </xf>
    <xf numFmtId="0" fontId="12" fillId="3" borderId="73" xfId="1" applyFont="1" applyFill="1" applyBorder="1" applyAlignment="1">
      <alignment horizontal="center" vertical="center" readingOrder="2"/>
    </xf>
    <xf numFmtId="0" fontId="4" fillId="3" borderId="74" xfId="1" applyFont="1" applyFill="1" applyBorder="1" applyAlignment="1">
      <alignment horizontal="center" vertical="center" wrapText="1"/>
    </xf>
    <xf numFmtId="0" fontId="4" fillId="3" borderId="73" xfId="1" applyFont="1" applyFill="1" applyBorder="1" applyAlignment="1">
      <alignment horizontal="center" vertical="center" wrapText="1"/>
    </xf>
    <xf numFmtId="0" fontId="16" fillId="0" borderId="0" xfId="1" applyFont="1" applyAlignment="1">
      <alignment horizontal="left" vertical="top" wrapText="1"/>
    </xf>
    <xf numFmtId="0" fontId="1" fillId="3" borderId="73" xfId="1" applyFont="1" applyFill="1" applyBorder="1" applyAlignment="1">
      <alignment horizontal="center" vertical="center" wrapText="1"/>
    </xf>
    <xf numFmtId="0" fontId="4" fillId="0" borderId="0" xfId="1" applyFont="1" applyAlignment="1">
      <alignment horizontal="right" vertical="top" wrapText="1" indent="1" readingOrder="2"/>
    </xf>
    <xf numFmtId="0" fontId="1" fillId="0" borderId="0" xfId="1" applyFont="1" applyAlignment="1">
      <alignment horizontal="left" vertical="top" wrapText="1" indent="1" readingOrder="1"/>
    </xf>
    <xf numFmtId="0" fontId="1" fillId="0" borderId="0" xfId="1" applyFont="1" applyAlignment="1">
      <alignment horizontal="right" vertical="center" wrapText="1" readingOrder="1"/>
    </xf>
    <xf numFmtId="0" fontId="64" fillId="0" borderId="0" xfId="1" applyFont="1" applyAlignment="1">
      <alignment horizontal="left" vertical="center" wrapText="1" readingOrder="1"/>
    </xf>
    <xf numFmtId="0" fontId="1" fillId="0" borderId="26" xfId="1" applyFont="1" applyBorder="1" applyAlignment="1">
      <alignment horizontal="center" wrapText="1" readingOrder="1"/>
    </xf>
    <xf numFmtId="0" fontId="1" fillId="0" borderId="25" xfId="1" applyFont="1" applyBorder="1" applyAlignment="1">
      <alignment horizontal="center" wrapText="1" readingOrder="1"/>
    </xf>
    <xf numFmtId="0" fontId="4" fillId="3" borderId="74" xfId="1" applyFont="1" applyFill="1" applyBorder="1" applyAlignment="1">
      <alignment horizontal="center" vertical="center" wrapText="1" readingOrder="1"/>
    </xf>
    <xf numFmtId="0" fontId="4" fillId="3" borderId="73" xfId="1" applyFont="1" applyFill="1" applyBorder="1" applyAlignment="1">
      <alignment horizontal="center" vertical="center" wrapText="1" readingOrder="1"/>
    </xf>
    <xf numFmtId="0" fontId="12" fillId="3" borderId="74" xfId="1" applyFont="1" applyFill="1" applyBorder="1" applyAlignment="1">
      <alignment horizontal="center" vertical="center" wrapText="1" readingOrder="2"/>
    </xf>
    <xf numFmtId="0" fontId="12" fillId="3" borderId="73" xfId="1" applyFont="1" applyFill="1" applyBorder="1" applyAlignment="1">
      <alignment horizontal="center" vertical="center" wrapText="1" readingOrder="2"/>
    </xf>
    <xf numFmtId="0" fontId="101" fillId="0" borderId="75" xfId="1" applyFont="1" applyBorder="1" applyAlignment="1">
      <alignment horizontal="center" vertical="center" readingOrder="2"/>
    </xf>
    <xf numFmtId="0" fontId="4" fillId="0" borderId="0" xfId="1" applyFont="1" applyBorder="1" applyAlignment="1">
      <alignment horizontal="right" wrapText="1" readingOrder="2"/>
    </xf>
    <xf numFmtId="0" fontId="14" fillId="0" borderId="0" xfId="1" applyFont="1" applyBorder="1" applyAlignment="1">
      <alignment horizontal="left" wrapText="1" readingOrder="1"/>
    </xf>
    <xf numFmtId="0" fontId="16" fillId="0" borderId="0" xfId="1" applyFont="1" applyAlignment="1">
      <alignment horizontal="right" vertical="top" wrapText="1" readingOrder="2"/>
    </xf>
    <xf numFmtId="0" fontId="1" fillId="0" borderId="0" xfId="1" applyAlignment="1">
      <alignment horizontal="left" vertical="top" wrapText="1" readingOrder="1"/>
    </xf>
    <xf numFmtId="0" fontId="12" fillId="6" borderId="0" xfId="2" applyFont="1" applyFill="1" applyAlignment="1">
      <alignment horizontal="center"/>
    </xf>
    <xf numFmtId="164" fontId="7" fillId="3" borderId="23" xfId="1" applyNumberFormat="1" applyFont="1" applyFill="1" applyBorder="1" applyAlignment="1">
      <alignment horizontal="center" vertical="center" wrapText="1"/>
    </xf>
    <xf numFmtId="164" fontId="7" fillId="3" borderId="27" xfId="1" applyNumberFormat="1" applyFont="1" applyFill="1" applyBorder="1" applyAlignment="1">
      <alignment horizontal="center" vertical="center" wrapText="1"/>
    </xf>
    <xf numFmtId="0" fontId="7" fillId="3" borderId="7" xfId="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0" xfId="1" applyFont="1" applyFill="1" applyBorder="1" applyAlignment="1">
      <alignment horizontal="center" vertical="center" wrapText="1"/>
    </xf>
    <xf numFmtId="0" fontId="4" fillId="6" borderId="0" xfId="4" applyFont="1" applyFill="1" applyBorder="1" applyAlignment="1">
      <alignment horizontal="center" wrapText="1" readingOrder="1"/>
    </xf>
    <xf numFmtId="0" fontId="4" fillId="6" borderId="0" xfId="4" applyFont="1" applyFill="1" applyBorder="1" applyAlignment="1">
      <alignment horizontal="center" readingOrder="1"/>
    </xf>
    <xf numFmtId="0" fontId="7" fillId="3" borderId="9" xfId="1" applyFont="1" applyFill="1" applyBorder="1" applyAlignment="1">
      <alignment horizontal="center" vertical="center" wrapText="1"/>
    </xf>
    <xf numFmtId="0" fontId="7" fillId="3" borderId="18" xfId="1" applyFont="1" applyFill="1" applyBorder="1" applyAlignment="1">
      <alignment horizontal="center" vertical="center" wrapText="1"/>
    </xf>
    <xf numFmtId="0" fontId="7" fillId="3" borderId="12" xfId="1" applyFont="1" applyFill="1" applyBorder="1" applyAlignment="1">
      <alignment horizontal="center" vertical="center" wrapText="1"/>
    </xf>
    <xf numFmtId="0" fontId="14" fillId="6" borderId="0" xfId="1" applyFont="1" applyFill="1" applyAlignment="1">
      <alignment horizontal="center" readingOrder="1"/>
    </xf>
    <xf numFmtId="0" fontId="7" fillId="3" borderId="39" xfId="1" applyFont="1" applyFill="1" applyBorder="1" applyAlignment="1">
      <alignment horizontal="center" vertical="center" wrapText="1"/>
    </xf>
    <xf numFmtId="0" fontId="7" fillId="3" borderId="37" xfId="1" applyFont="1" applyFill="1" applyBorder="1" applyAlignment="1">
      <alignment horizontal="center" vertical="center" wrapText="1"/>
    </xf>
    <xf numFmtId="164" fontId="15" fillId="3" borderId="24" xfId="1" applyNumberFormat="1" applyFont="1" applyFill="1" applyBorder="1" applyAlignment="1">
      <alignment horizontal="center" vertical="center" wrapText="1"/>
    </xf>
    <xf numFmtId="164" fontId="15" fillId="3" borderId="31" xfId="1" applyNumberFormat="1" applyFont="1" applyFill="1" applyBorder="1" applyAlignment="1">
      <alignment horizontal="center" vertical="center" wrapText="1"/>
    </xf>
    <xf numFmtId="164" fontId="15" fillId="3" borderId="22" xfId="1" applyNumberFormat="1" applyFont="1" applyFill="1" applyBorder="1" applyAlignment="1">
      <alignment horizontal="center" vertical="center" wrapText="1"/>
    </xf>
    <xf numFmtId="164" fontId="7" fillId="3" borderId="24" xfId="1" applyNumberFormat="1" applyFont="1" applyFill="1" applyBorder="1" applyAlignment="1">
      <alignment horizontal="center" vertical="center" wrapText="1"/>
    </xf>
    <xf numFmtId="164" fontId="7" fillId="3" borderId="31" xfId="1" applyNumberFormat="1" applyFont="1" applyFill="1" applyBorder="1" applyAlignment="1">
      <alignment horizontal="center" vertical="center" wrapText="1"/>
    </xf>
    <xf numFmtId="164" fontId="7" fillId="3" borderId="22" xfId="1" applyNumberFormat="1" applyFont="1" applyFill="1" applyBorder="1" applyAlignment="1">
      <alignment horizontal="center" vertical="center" wrapText="1"/>
    </xf>
    <xf numFmtId="164" fontId="7" fillId="3" borderId="44" xfId="1" applyNumberFormat="1" applyFont="1" applyFill="1" applyBorder="1" applyAlignment="1">
      <alignment horizontal="center" vertical="center" wrapText="1"/>
    </xf>
    <xf numFmtId="164" fontId="7" fillId="3" borderId="25" xfId="1" applyNumberFormat="1" applyFont="1" applyFill="1" applyBorder="1" applyAlignment="1">
      <alignment horizontal="center" vertical="center" wrapText="1"/>
    </xf>
    <xf numFmtId="164" fontId="7" fillId="3" borderId="45" xfId="1" applyNumberFormat="1" applyFont="1" applyFill="1" applyBorder="1" applyAlignment="1">
      <alignment horizontal="center" vertical="center" wrapText="1"/>
    </xf>
    <xf numFmtId="0" fontId="7" fillId="3" borderId="22" xfId="1" applyFont="1" applyFill="1" applyBorder="1" applyAlignment="1">
      <alignment horizontal="center" vertical="center" wrapText="1" readingOrder="1"/>
    </xf>
    <xf numFmtId="0" fontId="7" fillId="3" borderId="45" xfId="1" applyFont="1" applyFill="1" applyBorder="1" applyAlignment="1">
      <alignment horizontal="center" vertical="center" wrapText="1" readingOrder="1"/>
    </xf>
    <xf numFmtId="0" fontId="7" fillId="3" borderId="24" xfId="1" applyFont="1" applyFill="1" applyBorder="1" applyAlignment="1">
      <alignment horizontal="center" vertical="center" wrapText="1" readingOrder="1"/>
    </xf>
    <xf numFmtId="0" fontId="7" fillId="3" borderId="44" xfId="1" applyFont="1" applyFill="1" applyBorder="1" applyAlignment="1">
      <alignment horizontal="center" vertical="center" wrapText="1" readingOrder="1"/>
    </xf>
    <xf numFmtId="0" fontId="4" fillId="6" borderId="0" xfId="4" applyFont="1" applyFill="1" applyAlignment="1">
      <alignment horizontal="center" wrapText="1"/>
    </xf>
    <xf numFmtId="0" fontId="4" fillId="6" borderId="0" xfId="4" applyFont="1" applyFill="1" applyAlignment="1">
      <alignment horizontal="center"/>
    </xf>
    <xf numFmtId="0" fontId="14" fillId="0" borderId="0" xfId="1" applyFont="1" applyAlignment="1">
      <alignment horizontal="center" readingOrder="1"/>
    </xf>
    <xf numFmtId="0" fontId="7" fillId="3" borderId="7" xfId="1" applyFont="1" applyFill="1" applyBorder="1" applyAlignment="1">
      <alignment horizontal="center" vertical="center" wrapText="1" readingOrder="1"/>
    </xf>
    <xf numFmtId="0" fontId="7" fillId="3" borderId="19" xfId="1" applyFont="1" applyFill="1" applyBorder="1" applyAlignment="1">
      <alignment horizontal="center" vertical="center" wrapText="1" readingOrder="1"/>
    </xf>
    <xf numFmtId="0" fontId="7" fillId="3" borderId="9" xfId="1" applyFont="1" applyFill="1" applyBorder="1" applyAlignment="1">
      <alignment horizontal="center" vertical="center" wrapText="1" readingOrder="1"/>
    </xf>
    <xf numFmtId="0" fontId="7" fillId="3" borderId="21" xfId="1" applyFont="1" applyFill="1" applyBorder="1" applyAlignment="1">
      <alignment horizontal="center" vertical="center" wrapText="1" readingOrder="1"/>
    </xf>
    <xf numFmtId="0" fontId="7" fillId="3" borderId="23" xfId="1" applyFont="1" applyFill="1" applyBorder="1" applyAlignment="1">
      <alignment horizontal="center" vertical="center" wrapText="1"/>
    </xf>
    <xf numFmtId="0" fontId="7" fillId="3" borderId="24" xfId="1" applyFont="1" applyFill="1" applyBorder="1" applyAlignment="1">
      <alignment horizontal="center" vertical="center" wrapText="1"/>
    </xf>
    <xf numFmtId="0" fontId="7" fillId="3" borderId="44" xfId="1" applyFont="1" applyFill="1" applyBorder="1" applyAlignment="1">
      <alignment horizontal="center" vertical="center" wrapText="1"/>
    </xf>
    <xf numFmtId="0" fontId="7" fillId="3" borderId="22" xfId="1" applyFont="1" applyFill="1" applyBorder="1" applyAlignment="1">
      <alignment horizontal="center" vertical="center" wrapText="1"/>
    </xf>
    <xf numFmtId="0" fontId="7" fillId="3" borderId="45" xfId="1" applyFont="1" applyFill="1" applyBorder="1" applyAlignment="1">
      <alignment horizontal="center" vertical="center" wrapText="1"/>
    </xf>
    <xf numFmtId="0" fontId="32" fillId="0" borderId="17" xfId="34" applyFont="1" applyBorder="1" applyAlignment="1">
      <alignment horizontal="right" vertical="center" indent="1" readingOrder="2"/>
    </xf>
    <xf numFmtId="0" fontId="32" fillId="0" borderId="20" xfId="34" applyFont="1" applyBorder="1" applyAlignment="1">
      <alignment horizontal="right" vertical="center" indent="1" readingOrder="2"/>
    </xf>
    <xf numFmtId="0" fontId="14" fillId="6" borderId="17" xfId="19" applyFont="1" applyFill="1" applyBorder="1" applyAlignment="1">
      <alignment horizontal="left" vertical="center" wrapText="1" indent="1"/>
    </xf>
    <xf numFmtId="0" fontId="14" fillId="6" borderId="20" xfId="19" applyFont="1" applyFill="1" applyBorder="1" applyAlignment="1">
      <alignment horizontal="left" vertical="center" wrapText="1" indent="1"/>
    </xf>
    <xf numFmtId="0" fontId="32" fillId="3" borderId="8" xfId="34" applyFont="1" applyFill="1" applyBorder="1" applyAlignment="1">
      <alignment horizontal="center" vertical="center" readingOrder="2"/>
    </xf>
    <xf numFmtId="0" fontId="32" fillId="3" borderId="17" xfId="34" applyFont="1" applyFill="1" applyBorder="1" applyAlignment="1">
      <alignment horizontal="center" vertical="center" readingOrder="2"/>
    </xf>
    <xf numFmtId="0" fontId="32" fillId="3" borderId="11" xfId="34" applyFont="1" applyFill="1" applyBorder="1" applyAlignment="1">
      <alignment horizontal="center" vertical="center" readingOrder="2"/>
    </xf>
    <xf numFmtId="0" fontId="14" fillId="3" borderId="8" xfId="19" applyFont="1" applyFill="1" applyBorder="1" applyAlignment="1">
      <alignment horizontal="center" vertical="center" wrapText="1"/>
    </xf>
    <xf numFmtId="0" fontId="14" fillId="3" borderId="17" xfId="19" applyFont="1" applyFill="1" applyBorder="1" applyAlignment="1">
      <alignment horizontal="center" vertical="center" wrapText="1"/>
    </xf>
    <xf numFmtId="0" fontId="14" fillId="3" borderId="11" xfId="19" applyFont="1" applyFill="1" applyBorder="1" applyAlignment="1">
      <alignment horizontal="center" vertical="center" wrapText="1"/>
    </xf>
    <xf numFmtId="0" fontId="16" fillId="0" borderId="25" xfId="1" applyFont="1" applyBorder="1" applyAlignment="1">
      <alignment horizontal="right" vertical="top" readingOrder="2"/>
    </xf>
    <xf numFmtId="0" fontId="1" fillId="0" borderId="25" xfId="1" applyFont="1" applyBorder="1" applyAlignment="1">
      <alignment horizontal="left" vertical="top"/>
    </xf>
    <xf numFmtId="0" fontId="32" fillId="3" borderId="17" xfId="34" applyFont="1" applyFill="1" applyBorder="1" applyAlignment="1">
      <alignment horizontal="right" vertical="center" indent="1" readingOrder="2"/>
    </xf>
    <xf numFmtId="0" fontId="14" fillId="3" borderId="17" xfId="19" applyFont="1" applyFill="1" applyBorder="1" applyAlignment="1">
      <alignment horizontal="left" vertical="center" wrapText="1" indent="1"/>
    </xf>
    <xf numFmtId="0" fontId="39" fillId="3" borderId="27" xfId="34" applyFont="1" applyFill="1" applyBorder="1" applyAlignment="1">
      <alignment horizontal="center" vertical="center" wrapText="1" readingOrder="2"/>
    </xf>
    <xf numFmtId="0" fontId="39" fillId="3" borderId="44" xfId="34" applyFont="1" applyFill="1" applyBorder="1" applyAlignment="1">
      <alignment horizontal="center" vertical="center" wrapText="1" readingOrder="2"/>
    </xf>
    <xf numFmtId="0" fontId="32" fillId="0" borderId="14" xfId="34" applyFont="1" applyBorder="1" applyAlignment="1">
      <alignment horizontal="right" vertical="center" indent="1" readingOrder="2"/>
    </xf>
    <xf numFmtId="0" fontId="14" fillId="6" borderId="14" xfId="19" applyFont="1" applyFill="1" applyBorder="1" applyAlignment="1">
      <alignment horizontal="left" vertical="center" wrapText="1" indent="1"/>
    </xf>
    <xf numFmtId="0" fontId="12" fillId="6" borderId="0" xfId="4" applyFont="1" applyFill="1" applyAlignment="1">
      <alignment horizontal="center" vertical="center"/>
    </xf>
    <xf numFmtId="0" fontId="4" fillId="6" borderId="0" xfId="4" applyFont="1" applyFill="1" applyAlignment="1">
      <alignment horizontal="center" vertical="center" readingOrder="2"/>
    </xf>
    <xf numFmtId="0" fontId="4" fillId="6" borderId="0" xfId="4" applyFont="1" applyFill="1" applyAlignment="1">
      <alignment horizontal="center" vertical="center"/>
    </xf>
    <xf numFmtId="0" fontId="15" fillId="3" borderId="44" xfId="1" applyFont="1" applyFill="1" applyBorder="1" applyAlignment="1">
      <alignment horizontal="center" vertical="center" wrapText="1"/>
    </xf>
    <xf numFmtId="0" fontId="15" fillId="3" borderId="45" xfId="1" applyFont="1" applyFill="1" applyBorder="1" applyAlignment="1">
      <alignment horizontal="center" vertical="center" wrapText="1"/>
    </xf>
    <xf numFmtId="0" fontId="15" fillId="3" borderId="37" xfId="1" applyFont="1" applyFill="1" applyBorder="1" applyAlignment="1">
      <alignment horizontal="center" vertical="center" wrapText="1"/>
    </xf>
    <xf numFmtId="0" fontId="15" fillId="3" borderId="39" xfId="1" applyFont="1" applyFill="1" applyBorder="1" applyAlignment="1">
      <alignment horizontal="center" vertical="center" wrapText="1"/>
    </xf>
    <xf numFmtId="0" fontId="15" fillId="3" borderId="41" xfId="1" applyFont="1" applyFill="1" applyBorder="1" applyAlignment="1">
      <alignment horizontal="center" vertical="center" wrapText="1"/>
    </xf>
    <xf numFmtId="0" fontId="15" fillId="3" borderId="40" xfId="1" applyFont="1" applyFill="1" applyBorder="1" applyAlignment="1">
      <alignment horizontal="center" vertical="center" wrapText="1"/>
    </xf>
    <xf numFmtId="0" fontId="15" fillId="3" borderId="31" xfId="1" applyFont="1" applyFill="1" applyBorder="1" applyAlignment="1">
      <alignment horizontal="left" vertical="center" wrapText="1" indent="1"/>
    </xf>
    <xf numFmtId="0" fontId="15" fillId="3" borderId="31" xfId="1" applyFont="1" applyFill="1" applyBorder="1" applyAlignment="1">
      <alignment horizontal="right" vertical="center" wrapText="1" indent="1"/>
    </xf>
    <xf numFmtId="0" fontId="14" fillId="3" borderId="44" xfId="1" applyFont="1" applyFill="1" applyBorder="1" applyAlignment="1">
      <alignment horizontal="center" vertical="center" wrapText="1"/>
    </xf>
    <xf numFmtId="0" fontId="14" fillId="3" borderId="25" xfId="1" applyFont="1" applyFill="1" applyBorder="1" applyAlignment="1">
      <alignment horizontal="center" vertical="center" wrapText="1"/>
    </xf>
    <xf numFmtId="0" fontId="14" fillId="3" borderId="37" xfId="1" applyFont="1" applyFill="1" applyBorder="1" applyAlignment="1">
      <alignment horizontal="center" vertical="center" wrapText="1"/>
    </xf>
    <xf numFmtId="0" fontId="14" fillId="3" borderId="0" xfId="1" applyFont="1" applyFill="1" applyBorder="1" applyAlignment="1">
      <alignment horizontal="center" vertical="center" wrapText="1"/>
    </xf>
    <xf numFmtId="0" fontId="14" fillId="3" borderId="41" xfId="1" applyFont="1" applyFill="1" applyBorder="1" applyAlignment="1">
      <alignment horizontal="center" vertical="center" wrapText="1"/>
    </xf>
    <xf numFmtId="0" fontId="14" fillId="3" borderId="26" xfId="1" applyFont="1" applyFill="1" applyBorder="1" applyAlignment="1">
      <alignment horizontal="center" vertical="center" wrapText="1"/>
    </xf>
    <xf numFmtId="0" fontId="39" fillId="3" borderId="45" xfId="34" applyFont="1" applyFill="1" applyBorder="1" applyAlignment="1">
      <alignment horizontal="center" vertical="center" wrapText="1" readingOrder="2"/>
    </xf>
    <xf numFmtId="0" fontId="14" fillId="0" borderId="0" xfId="1" applyFont="1" applyAlignment="1">
      <alignment readingOrder="1"/>
    </xf>
    <xf numFmtId="0" fontId="15" fillId="3" borderId="7" xfId="1" applyFont="1" applyFill="1" applyBorder="1" applyAlignment="1">
      <alignment horizontal="center" vertical="center" wrapText="1"/>
    </xf>
    <xf numFmtId="0" fontId="15" fillId="3" borderId="19" xfId="1" applyFont="1" applyFill="1" applyBorder="1" applyAlignment="1">
      <alignment horizontal="center" vertical="center" wrapText="1"/>
    </xf>
    <xf numFmtId="0" fontId="15" fillId="3" borderId="27" xfId="1" applyFont="1" applyFill="1" applyBorder="1" applyAlignment="1">
      <alignment horizontal="center" vertical="center" wrapText="1"/>
    </xf>
    <xf numFmtId="0" fontId="15" fillId="3" borderId="9" xfId="1" applyFont="1" applyFill="1" applyBorder="1" applyAlignment="1">
      <alignment horizontal="center" vertical="center" wrapText="1"/>
    </xf>
    <xf numFmtId="0" fontId="15" fillId="3" borderId="21" xfId="1" applyFont="1" applyFill="1" applyBorder="1" applyAlignment="1">
      <alignment horizontal="center" vertical="center" wrapText="1"/>
    </xf>
    <xf numFmtId="0" fontId="14" fillId="3" borderId="12" xfId="17" applyFont="1" applyFill="1" applyBorder="1" applyAlignment="1">
      <alignment horizontal="center" vertical="center" wrapText="1" readingOrder="1"/>
    </xf>
    <xf numFmtId="0" fontId="14" fillId="3" borderId="48" xfId="17" applyFont="1" applyFill="1" applyBorder="1" applyAlignment="1">
      <alignment horizontal="center" vertical="center" wrapText="1" readingOrder="1"/>
    </xf>
    <xf numFmtId="0" fontId="7" fillId="3" borderId="19" xfId="1" applyFont="1" applyFill="1" applyBorder="1" applyAlignment="1">
      <alignment horizontal="center" vertical="center" wrapText="1"/>
    </xf>
    <xf numFmtId="0" fontId="7" fillId="3" borderId="8" xfId="1" applyFont="1" applyFill="1" applyBorder="1" applyAlignment="1">
      <alignment horizontal="center" vertical="center" wrapText="1"/>
    </xf>
    <xf numFmtId="0" fontId="7" fillId="3" borderId="20" xfId="1" applyFont="1" applyFill="1" applyBorder="1" applyAlignment="1">
      <alignment horizontal="center" vertical="center" wrapText="1"/>
    </xf>
    <xf numFmtId="0" fontId="22" fillId="3" borderId="9" xfId="1" applyFont="1" applyFill="1" applyBorder="1" applyAlignment="1">
      <alignment horizontal="center" vertical="center" wrapText="1"/>
    </xf>
    <xf numFmtId="0" fontId="22" fillId="3" borderId="21" xfId="1" applyFont="1" applyFill="1" applyBorder="1" applyAlignment="1">
      <alignment horizontal="center" vertical="center" wrapText="1"/>
    </xf>
    <xf numFmtId="0" fontId="12" fillId="6" borderId="0" xfId="2" applyFont="1" applyFill="1" applyAlignment="1">
      <alignment horizontal="center" vertical="center"/>
    </xf>
    <xf numFmtId="0" fontId="7" fillId="3" borderId="31" xfId="1" applyFont="1" applyFill="1" applyBorder="1" applyAlignment="1">
      <alignment horizontal="center" vertical="center" wrapText="1"/>
    </xf>
    <xf numFmtId="0" fontId="4" fillId="3" borderId="7" xfId="1" applyFont="1" applyFill="1" applyBorder="1" applyAlignment="1">
      <alignment horizontal="center" vertical="center" wrapText="1" readingOrder="2"/>
    </xf>
    <xf numFmtId="0" fontId="4" fillId="3" borderId="19" xfId="1" applyFont="1" applyFill="1" applyBorder="1" applyAlignment="1">
      <alignment horizontal="center" vertical="center" wrapText="1" readingOrder="2"/>
    </xf>
    <xf numFmtId="1" fontId="5" fillId="3" borderId="9" xfId="1" applyNumberFormat="1" applyFont="1" applyFill="1" applyBorder="1" applyAlignment="1">
      <alignment horizontal="center" vertical="center" wrapText="1" readingOrder="1"/>
    </xf>
    <xf numFmtId="1" fontId="5" fillId="3" borderId="21" xfId="1" applyNumberFormat="1" applyFont="1" applyFill="1" applyBorder="1" applyAlignment="1">
      <alignment horizontal="center" vertical="center" wrapText="1" readingOrder="1"/>
    </xf>
    <xf numFmtId="0" fontId="14" fillId="3" borderId="44" xfId="1" applyFont="1" applyFill="1" applyBorder="1" applyAlignment="1">
      <alignment horizontal="center" vertical="center"/>
    </xf>
    <xf numFmtId="0" fontId="14" fillId="3" borderId="25" xfId="1" applyFont="1" applyFill="1" applyBorder="1" applyAlignment="1">
      <alignment horizontal="center" vertical="center"/>
    </xf>
    <xf numFmtId="0" fontId="14" fillId="3" borderId="45" xfId="1" applyFont="1" applyFill="1" applyBorder="1" applyAlignment="1">
      <alignment horizontal="center" vertical="center"/>
    </xf>
    <xf numFmtId="1" fontId="14" fillId="3" borderId="9" xfId="1" applyNumberFormat="1" applyFont="1" applyFill="1" applyBorder="1" applyAlignment="1">
      <alignment horizontal="center" vertical="center" wrapText="1" readingOrder="1"/>
    </xf>
    <xf numFmtId="1" fontId="14" fillId="3" borderId="21" xfId="1" applyNumberFormat="1" applyFont="1" applyFill="1" applyBorder="1" applyAlignment="1">
      <alignment horizontal="center" vertical="center" wrapText="1" readingOrder="1"/>
    </xf>
    <xf numFmtId="0" fontId="4" fillId="3" borderId="10" xfId="1" applyFont="1" applyFill="1" applyBorder="1" applyAlignment="1">
      <alignment horizontal="center" vertical="center" wrapText="1" readingOrder="2"/>
    </xf>
    <xf numFmtId="1" fontId="14" fillId="3" borderId="12" xfId="1" applyNumberFormat="1" applyFont="1" applyFill="1" applyBorder="1" applyAlignment="1">
      <alignment horizontal="center" vertical="center" wrapText="1" readingOrder="1"/>
    </xf>
    <xf numFmtId="0" fontId="13" fillId="6" borderId="0" xfId="2" applyFont="1" applyFill="1" applyAlignment="1">
      <alignment horizontal="center"/>
    </xf>
    <xf numFmtId="0" fontId="14" fillId="3" borderId="12" xfId="1" applyFont="1" applyFill="1" applyBorder="1" applyAlignment="1">
      <alignment horizontal="center" vertical="center" readingOrder="1"/>
    </xf>
    <xf numFmtId="0" fontId="14" fillId="3" borderId="48" xfId="1" applyFont="1" applyFill="1" applyBorder="1" applyAlignment="1">
      <alignment horizontal="center" vertical="center" readingOrder="1"/>
    </xf>
    <xf numFmtId="0" fontId="4" fillId="3" borderId="27" xfId="1" applyFont="1" applyFill="1" applyBorder="1" applyAlignment="1">
      <alignment horizontal="center" vertical="center" wrapText="1" readingOrder="1"/>
    </xf>
    <xf numFmtId="0" fontId="4" fillId="3" borderId="8" xfId="1" applyFont="1" applyFill="1" applyBorder="1" applyAlignment="1">
      <alignment horizontal="center" vertical="center" wrapText="1" readingOrder="2"/>
    </xf>
    <xf numFmtId="0" fontId="4" fillId="3" borderId="11" xfId="1" applyFont="1" applyFill="1" applyBorder="1" applyAlignment="1">
      <alignment horizontal="center" vertical="center" wrapText="1" readingOrder="2"/>
    </xf>
    <xf numFmtId="0" fontId="14" fillId="3" borderId="11" xfId="1" applyFont="1" applyFill="1" applyBorder="1" applyAlignment="1">
      <alignment horizontal="center" vertical="center" readingOrder="1"/>
    </xf>
    <xf numFmtId="0" fontId="4" fillId="3" borderId="16" xfId="1" applyFont="1" applyFill="1" applyBorder="1" applyAlignment="1">
      <alignment horizontal="center" vertical="center" wrapText="1" readingOrder="2"/>
    </xf>
    <xf numFmtId="0" fontId="14" fillId="3" borderId="27" xfId="1" applyFont="1" applyFill="1" applyBorder="1" applyAlignment="1">
      <alignment horizontal="center" vertical="center" wrapText="1" readingOrder="2"/>
    </xf>
    <xf numFmtId="1" fontId="14" fillId="3" borderId="18" xfId="1" applyNumberFormat="1" applyFont="1" applyFill="1" applyBorder="1" applyAlignment="1">
      <alignment horizontal="center" vertical="center" wrapText="1" readingOrder="1"/>
    </xf>
    <xf numFmtId="0" fontId="12" fillId="6" borderId="0" xfId="3" applyFont="1" applyFill="1" applyAlignment="1">
      <alignment horizontal="center"/>
    </xf>
    <xf numFmtId="0" fontId="4" fillId="6" borderId="0" xfId="5" applyFont="1" applyFill="1" applyAlignment="1">
      <alignment horizontal="center" wrapText="1"/>
    </xf>
    <xf numFmtId="0" fontId="4" fillId="6" borderId="0" xfId="5" applyFont="1" applyFill="1" applyAlignment="1">
      <alignment horizontal="center"/>
    </xf>
    <xf numFmtId="0" fontId="4" fillId="6" borderId="0" xfId="1" applyFont="1" applyFill="1" applyAlignment="1">
      <alignment horizontal="center" vertical="center" readingOrder="2"/>
    </xf>
    <xf numFmtId="0" fontId="14" fillId="6" borderId="9" xfId="1" applyFont="1" applyFill="1" applyBorder="1" applyAlignment="1">
      <alignment horizontal="center" vertical="center" readingOrder="1"/>
    </xf>
    <xf numFmtId="0" fontId="14" fillId="6" borderId="12" xfId="1" applyFont="1" applyFill="1" applyBorder="1" applyAlignment="1">
      <alignment horizontal="center" vertical="center" readingOrder="1"/>
    </xf>
    <xf numFmtId="0" fontId="4" fillId="6" borderId="7" xfId="1" applyFont="1" applyFill="1" applyBorder="1" applyAlignment="1">
      <alignment horizontal="center" vertical="center" readingOrder="2"/>
    </xf>
    <xf numFmtId="0" fontId="4" fillId="6" borderId="10" xfId="1" applyFont="1" applyFill="1" applyBorder="1" applyAlignment="1">
      <alignment horizontal="center" vertical="center" readingOrder="2"/>
    </xf>
    <xf numFmtId="0" fontId="17" fillId="3" borderId="18" xfId="1" applyFont="1" applyFill="1" applyBorder="1" applyAlignment="1">
      <alignment horizontal="left" vertical="center" wrapText="1" indent="1" readingOrder="1"/>
    </xf>
    <xf numFmtId="0" fontId="17" fillId="6" borderId="18" xfId="1" applyFont="1" applyFill="1" applyBorder="1" applyAlignment="1">
      <alignment horizontal="left" vertical="center" wrapText="1" indent="1" readingOrder="1"/>
    </xf>
    <xf numFmtId="0" fontId="17" fillId="3" borderId="21" xfId="1" applyFont="1" applyFill="1" applyBorder="1" applyAlignment="1">
      <alignment horizontal="left" vertical="center" wrapText="1" indent="1" readingOrder="1"/>
    </xf>
    <xf numFmtId="0" fontId="17" fillId="6" borderId="9" xfId="1" applyFont="1" applyFill="1" applyBorder="1" applyAlignment="1">
      <alignment horizontal="left" vertical="center" wrapText="1" indent="1" readingOrder="1"/>
    </xf>
    <xf numFmtId="0" fontId="15" fillId="6" borderId="7" xfId="1" applyFont="1" applyFill="1" applyBorder="1" applyAlignment="1">
      <alignment horizontal="right" vertical="center" wrapText="1" indent="1" readingOrder="2"/>
    </xf>
    <xf numFmtId="0" fontId="15" fillId="6" borderId="16" xfId="1" applyFont="1" applyFill="1" applyBorder="1" applyAlignment="1">
      <alignment horizontal="right" vertical="center" wrapText="1" indent="1" readingOrder="2"/>
    </xf>
    <xf numFmtId="0" fontId="15" fillId="3" borderId="16" xfId="1" applyFont="1" applyFill="1" applyBorder="1" applyAlignment="1">
      <alignment horizontal="right" vertical="center" wrapText="1" indent="1" readingOrder="2"/>
    </xf>
    <xf numFmtId="0" fontId="15" fillId="3" borderId="19" xfId="1" applyFont="1" applyFill="1" applyBorder="1" applyAlignment="1">
      <alignment horizontal="right" vertical="center" wrapText="1" indent="1" readingOrder="2"/>
    </xf>
    <xf numFmtId="0" fontId="4" fillId="3" borderId="27" xfId="1" applyFont="1" applyFill="1" applyBorder="1" applyAlignment="1">
      <alignment horizontal="center" vertical="center" wrapText="1"/>
    </xf>
    <xf numFmtId="0" fontId="14" fillId="3" borderId="8" xfId="1" applyFont="1" applyFill="1" applyBorder="1" applyAlignment="1">
      <alignment horizontal="center" vertical="center" wrapText="1" readingOrder="2"/>
    </xf>
    <xf numFmtId="0" fontId="14" fillId="3" borderId="11" xfId="1" applyFont="1" applyFill="1" applyBorder="1" applyAlignment="1">
      <alignment horizontal="center" vertical="center" wrapText="1" readingOrder="2"/>
    </xf>
    <xf numFmtId="0" fontId="4" fillId="3" borderId="20" xfId="1" applyFont="1" applyFill="1" applyBorder="1" applyAlignment="1">
      <alignment horizontal="center" vertical="center" wrapText="1" readingOrder="2"/>
    </xf>
    <xf numFmtId="0" fontId="15" fillId="6" borderId="13" xfId="1" applyFont="1" applyFill="1" applyBorder="1" applyAlignment="1">
      <alignment horizontal="right" vertical="center" wrapText="1" indent="1" readingOrder="2"/>
    </xf>
    <xf numFmtId="0" fontId="17" fillId="6" borderId="15" xfId="1" applyFont="1" applyFill="1" applyBorder="1" applyAlignment="1">
      <alignment horizontal="left" vertical="center" wrapText="1" indent="1" readingOrder="1"/>
    </xf>
    <xf numFmtId="0" fontId="7" fillId="3" borderId="27" xfId="1" applyFont="1" applyFill="1" applyBorder="1" applyAlignment="1">
      <alignment horizontal="center" vertical="center" wrapText="1"/>
    </xf>
    <xf numFmtId="0" fontId="7" fillId="3" borderId="21" xfId="1" applyFont="1" applyFill="1" applyBorder="1" applyAlignment="1">
      <alignment horizontal="center" vertical="center" wrapText="1"/>
    </xf>
    <xf numFmtId="0" fontId="6" fillId="3" borderId="7" xfId="1" applyFont="1" applyFill="1" applyBorder="1" applyAlignment="1">
      <alignment horizontal="center" vertical="center" wrapText="1"/>
    </xf>
    <xf numFmtId="0" fontId="6" fillId="3" borderId="19" xfId="1" applyFont="1" applyFill="1" applyBorder="1" applyAlignment="1">
      <alignment horizontal="center" vertical="center" wrapText="1"/>
    </xf>
    <xf numFmtId="0" fontId="22" fillId="3" borderId="12" xfId="1" applyFont="1" applyFill="1" applyBorder="1" applyAlignment="1">
      <alignment horizontal="center" vertical="center" wrapText="1"/>
    </xf>
    <xf numFmtId="0" fontId="6" fillId="3" borderId="10" xfId="1" applyFont="1" applyFill="1" applyBorder="1" applyAlignment="1">
      <alignment horizontal="center" vertical="center" wrapText="1"/>
    </xf>
    <xf numFmtId="0" fontId="7" fillId="3" borderId="11" xfId="1" applyFont="1" applyFill="1" applyBorder="1" applyAlignment="1">
      <alignment horizontal="center" vertical="center" wrapText="1"/>
    </xf>
    <xf numFmtId="0" fontId="15" fillId="3" borderId="10" xfId="1" applyFont="1" applyFill="1" applyBorder="1" applyAlignment="1">
      <alignment horizontal="right" vertical="center" wrapText="1" indent="1" readingOrder="2"/>
    </xf>
    <xf numFmtId="0" fontId="1" fillId="3" borderId="18" xfId="1" applyFont="1" applyFill="1" applyBorder="1" applyAlignment="1">
      <alignment horizontal="left" vertical="center" wrapText="1" indent="1" readingOrder="1"/>
    </xf>
    <xf numFmtId="0" fontId="1" fillId="3" borderId="12" xfId="1" applyFont="1" applyFill="1" applyBorder="1" applyAlignment="1">
      <alignment horizontal="left" vertical="center" wrapText="1" indent="1" readingOrder="1"/>
    </xf>
    <xf numFmtId="0" fontId="4" fillId="6" borderId="13" xfId="1" applyFont="1" applyFill="1" applyBorder="1" applyAlignment="1">
      <alignment horizontal="center" vertical="center" readingOrder="2"/>
    </xf>
    <xf numFmtId="0" fontId="4" fillId="6" borderId="39" xfId="1" applyFont="1" applyFill="1" applyBorder="1" applyAlignment="1">
      <alignment horizontal="center" vertical="center" readingOrder="2"/>
    </xf>
    <xf numFmtId="0" fontId="14" fillId="6" borderId="15" xfId="1" applyFont="1" applyFill="1" applyBorder="1" applyAlignment="1">
      <alignment horizontal="center" vertical="center" readingOrder="1"/>
    </xf>
    <xf numFmtId="0" fontId="14" fillId="6" borderId="37" xfId="1" applyFont="1" applyFill="1" applyBorder="1" applyAlignment="1">
      <alignment horizontal="center" vertical="center" readingOrder="1"/>
    </xf>
    <xf numFmtId="0" fontId="1" fillId="6" borderId="9" xfId="1" applyFont="1" applyFill="1" applyBorder="1" applyAlignment="1">
      <alignment horizontal="left" vertical="center" wrapText="1" indent="1" readingOrder="1"/>
    </xf>
    <xf numFmtId="0" fontId="1" fillId="6" borderId="18" xfId="1" applyFont="1" applyFill="1" applyBorder="1" applyAlignment="1">
      <alignment horizontal="left" vertical="center" wrapText="1" indent="1" readingOrder="1"/>
    </xf>
    <xf numFmtId="0" fontId="14" fillId="3" borderId="20" xfId="1" applyFont="1" applyFill="1" applyBorder="1" applyAlignment="1">
      <alignment horizontal="center" vertical="center" wrapText="1" readingOrder="2"/>
    </xf>
    <xf numFmtId="49" fontId="4" fillId="3" borderId="7" xfId="1" applyNumberFormat="1" applyFont="1" applyFill="1" applyBorder="1" applyAlignment="1">
      <alignment horizontal="center" vertical="center" wrapText="1" readingOrder="2"/>
    </xf>
    <xf numFmtId="49" fontId="4" fillId="3" borderId="16" xfId="1" applyNumberFormat="1" applyFont="1" applyFill="1" applyBorder="1" applyAlignment="1">
      <alignment horizontal="center" vertical="center" wrapText="1" readingOrder="2"/>
    </xf>
    <xf numFmtId="49" fontId="4" fillId="3" borderId="19" xfId="1" applyNumberFormat="1" applyFont="1" applyFill="1" applyBorder="1" applyAlignment="1">
      <alignment horizontal="center" vertical="center" wrapText="1" readingOrder="2"/>
    </xf>
    <xf numFmtId="0" fontId="14" fillId="3" borderId="24" xfId="1" applyFont="1" applyFill="1" applyBorder="1" applyAlignment="1">
      <alignment horizontal="center" vertical="center" wrapText="1" readingOrder="2"/>
    </xf>
    <xf numFmtId="0" fontId="14" fillId="3" borderId="31" xfId="1" applyFont="1" applyFill="1" applyBorder="1" applyAlignment="1">
      <alignment horizontal="center" vertical="center" wrapText="1" readingOrder="2"/>
    </xf>
    <xf numFmtId="0" fontId="14" fillId="3" borderId="22" xfId="1" applyFont="1" applyFill="1" applyBorder="1" applyAlignment="1">
      <alignment horizontal="center" vertical="center" wrapText="1" readingOrder="2"/>
    </xf>
    <xf numFmtId="0" fontId="4" fillId="3" borderId="8" xfId="1" applyFont="1" applyFill="1" applyBorder="1" applyAlignment="1">
      <alignment horizontal="center" vertical="center" wrapText="1" readingOrder="1"/>
    </xf>
    <xf numFmtId="0" fontId="4" fillId="3" borderId="20" xfId="1" applyFont="1" applyFill="1" applyBorder="1" applyAlignment="1">
      <alignment horizontal="center" vertical="center" wrapText="1" readingOrder="1"/>
    </xf>
    <xf numFmtId="49" fontId="14" fillId="3" borderId="9" xfId="1" applyNumberFormat="1" applyFont="1" applyFill="1" applyBorder="1" applyAlignment="1">
      <alignment horizontal="center" vertical="center" wrapText="1" readingOrder="1"/>
    </xf>
    <xf numFmtId="49" fontId="14" fillId="3" borderId="18" xfId="1" applyNumberFormat="1" applyFont="1" applyFill="1" applyBorder="1" applyAlignment="1">
      <alignment horizontal="center" vertical="center" wrapText="1" readingOrder="1"/>
    </xf>
    <xf numFmtId="49" fontId="14" fillId="3" borderId="21" xfId="1" applyNumberFormat="1" applyFont="1" applyFill="1" applyBorder="1" applyAlignment="1">
      <alignment horizontal="center" vertical="center" wrapText="1" readingOrder="1"/>
    </xf>
    <xf numFmtId="0" fontId="14" fillId="3" borderId="23" xfId="1" applyFont="1" applyFill="1" applyBorder="1" applyAlignment="1">
      <alignment horizontal="center" vertical="center" wrapText="1" readingOrder="1"/>
    </xf>
    <xf numFmtId="0" fontId="4" fillId="3" borderId="38" xfId="1" applyFont="1" applyFill="1" applyBorder="1" applyAlignment="1">
      <alignment horizontal="center" vertical="center" wrapText="1" readingOrder="1"/>
    </xf>
    <xf numFmtId="0" fontId="4" fillId="3" borderId="7" xfId="1" applyFont="1" applyFill="1" applyBorder="1" applyAlignment="1">
      <alignment horizontal="center" vertical="center" wrapText="1"/>
    </xf>
    <xf numFmtId="0" fontId="4" fillId="3" borderId="19" xfId="1" applyFont="1" applyFill="1" applyBorder="1" applyAlignment="1">
      <alignment horizontal="center" vertical="center" wrapText="1"/>
    </xf>
    <xf numFmtId="0" fontId="14" fillId="3" borderId="27" xfId="1" applyFont="1" applyFill="1" applyBorder="1" applyAlignment="1">
      <alignment horizontal="center" vertical="center" wrapText="1" readingOrder="1"/>
    </xf>
    <xf numFmtId="0" fontId="1" fillId="3" borderId="27" xfId="1" applyFont="1" applyFill="1" applyBorder="1" applyAlignment="1">
      <alignment readingOrder="1"/>
    </xf>
    <xf numFmtId="0" fontId="14" fillId="3" borderId="9" xfId="1" applyFont="1" applyFill="1" applyBorder="1" applyAlignment="1">
      <alignment horizontal="center" vertical="center" wrapText="1"/>
    </xf>
    <xf numFmtId="0" fontId="14" fillId="3" borderId="21" xfId="1" applyFont="1" applyFill="1" applyBorder="1" applyAlignment="1">
      <alignment horizontal="center" vertical="center" wrapText="1"/>
    </xf>
    <xf numFmtId="0" fontId="15" fillId="3" borderId="27" xfId="1" applyFont="1" applyFill="1" applyBorder="1" applyAlignment="1">
      <alignment horizontal="center" vertical="center" wrapText="1" readingOrder="1"/>
    </xf>
    <xf numFmtId="0" fontId="1" fillId="3" borderId="27" xfId="1" applyFont="1" applyFill="1" applyBorder="1" applyAlignment="1"/>
    <xf numFmtId="0" fontId="5" fillId="3" borderId="41" xfId="17" applyFont="1" applyFill="1" applyBorder="1" applyAlignment="1">
      <alignment horizontal="center" vertical="center" wrapText="1" readingOrder="1"/>
    </xf>
    <xf numFmtId="0" fontId="5" fillId="3" borderId="26" xfId="17" applyFont="1" applyFill="1" applyBorder="1" applyAlignment="1">
      <alignment horizontal="center" vertical="center" wrapText="1" readingOrder="1"/>
    </xf>
    <xf numFmtId="0" fontId="15" fillId="3" borderId="23" xfId="1" applyFont="1" applyFill="1" applyBorder="1" applyAlignment="1">
      <alignment horizontal="center" vertical="center" wrapText="1"/>
    </xf>
    <xf numFmtId="0" fontId="14" fillId="3" borderId="41" xfId="1" applyFont="1" applyFill="1" applyBorder="1" applyAlignment="1">
      <alignment horizontal="center" vertical="center" readingOrder="1"/>
    </xf>
    <xf numFmtId="0" fontId="14" fillId="3" borderId="26" xfId="1" applyFont="1" applyFill="1" applyBorder="1" applyAlignment="1">
      <alignment horizontal="center" vertical="center" readingOrder="1"/>
    </xf>
    <xf numFmtId="164" fontId="14" fillId="6" borderId="12" xfId="1" applyNumberFormat="1" applyFont="1" applyFill="1" applyBorder="1" applyAlignment="1">
      <alignment horizontal="center" vertical="center" readingOrder="1"/>
    </xf>
    <xf numFmtId="164" fontId="14" fillId="6" borderId="48" xfId="1" applyNumberFormat="1" applyFont="1" applyFill="1" applyBorder="1" applyAlignment="1">
      <alignment horizontal="center" vertical="center" readingOrder="1"/>
    </xf>
    <xf numFmtId="0" fontId="4" fillId="3" borderId="45" xfId="1" applyFont="1" applyFill="1" applyBorder="1" applyAlignment="1">
      <alignment horizontal="center" vertical="center" wrapText="1" readingOrder="2"/>
    </xf>
    <xf numFmtId="0" fontId="4" fillId="3" borderId="39" xfId="1" applyFont="1" applyFill="1" applyBorder="1" applyAlignment="1">
      <alignment horizontal="center" vertical="center" wrapText="1" readingOrder="2"/>
    </xf>
    <xf numFmtId="0" fontId="15" fillId="3" borderId="25" xfId="1" applyFont="1" applyFill="1" applyBorder="1" applyAlignment="1">
      <alignment horizontal="center" vertical="center" wrapText="1"/>
    </xf>
    <xf numFmtId="1" fontId="14" fillId="3" borderId="44" xfId="1" applyNumberFormat="1" applyFont="1" applyFill="1" applyBorder="1" applyAlignment="1">
      <alignment horizontal="center" vertical="center" wrapText="1" readingOrder="1"/>
    </xf>
    <xf numFmtId="1" fontId="14" fillId="3" borderId="37" xfId="1" applyNumberFormat="1" applyFont="1" applyFill="1" applyBorder="1" applyAlignment="1">
      <alignment horizontal="center" vertical="center" wrapText="1" readingOrder="1"/>
    </xf>
    <xf numFmtId="0" fontId="12" fillId="0" borderId="0" xfId="2" applyFont="1" applyAlignment="1">
      <alignment horizontal="center"/>
    </xf>
    <xf numFmtId="0" fontId="4" fillId="0" borderId="0" xfId="4" applyFont="1" applyAlignment="1">
      <alignment horizontal="center" wrapText="1"/>
    </xf>
    <xf numFmtId="0" fontId="4" fillId="0" borderId="0" xfId="4" applyFont="1" applyAlignment="1">
      <alignment horizontal="center"/>
    </xf>
    <xf numFmtId="0" fontId="14" fillId="3" borderId="12" xfId="1" applyFont="1" applyFill="1" applyBorder="1" applyAlignment="1">
      <alignment horizontal="center" vertical="center" wrapText="1" readingOrder="1"/>
    </xf>
    <xf numFmtId="0" fontId="14" fillId="3" borderId="48" xfId="1" applyFont="1" applyFill="1" applyBorder="1" applyAlignment="1">
      <alignment horizontal="center" vertical="center" wrapText="1" readingOrder="1"/>
    </xf>
    <xf numFmtId="0" fontId="4" fillId="3" borderId="27" xfId="1" applyFont="1" applyFill="1" applyBorder="1" applyAlignment="1">
      <alignment horizontal="center" vertical="center" wrapText="1" readingOrder="2"/>
    </xf>
    <xf numFmtId="0" fontId="4" fillId="3" borderId="38" xfId="1" applyFont="1" applyFill="1" applyBorder="1" applyAlignment="1">
      <alignment horizontal="center" vertical="center" wrapText="1" readingOrder="2"/>
    </xf>
    <xf numFmtId="0" fontId="14" fillId="0" borderId="12" xfId="1" applyFont="1" applyFill="1" applyBorder="1" applyAlignment="1">
      <alignment horizontal="center" vertical="center" readingOrder="1"/>
    </xf>
    <xf numFmtId="0" fontId="14" fillId="0" borderId="48" xfId="1" applyFont="1" applyFill="1" applyBorder="1" applyAlignment="1">
      <alignment horizontal="center" vertical="center" readingOrder="1"/>
    </xf>
    <xf numFmtId="0" fontId="4" fillId="3" borderId="24" xfId="1" applyFont="1" applyFill="1" applyBorder="1" applyAlignment="1">
      <alignment horizontal="center" vertical="center" wrapText="1" readingOrder="2"/>
    </xf>
    <xf numFmtId="0" fontId="4" fillId="3" borderId="31" xfId="1" applyFont="1" applyFill="1" applyBorder="1" applyAlignment="1">
      <alignment horizontal="center" vertical="center" wrapText="1" readingOrder="2"/>
    </xf>
    <xf numFmtId="0" fontId="4" fillId="3" borderId="22" xfId="1" applyFont="1" applyFill="1" applyBorder="1" applyAlignment="1">
      <alignment horizontal="center" vertical="center" wrapText="1" readingOrder="2"/>
    </xf>
    <xf numFmtId="0" fontId="1" fillId="3" borderId="21" xfId="1" applyFont="1" applyFill="1" applyBorder="1" applyAlignment="1">
      <alignment horizontal="left" vertical="center" wrapText="1" indent="1" readingOrder="1"/>
    </xf>
    <xf numFmtId="49" fontId="4" fillId="3" borderId="45" xfId="1" applyNumberFormat="1" applyFont="1" applyFill="1" applyBorder="1" applyAlignment="1">
      <alignment horizontal="center" vertical="center" wrapText="1" readingOrder="2"/>
    </xf>
    <xf numFmtId="49" fontId="4" fillId="3" borderId="39" xfId="1" applyNumberFormat="1" applyFont="1" applyFill="1" applyBorder="1" applyAlignment="1">
      <alignment horizontal="center" vertical="center" wrapText="1" readingOrder="2"/>
    </xf>
    <xf numFmtId="49" fontId="14" fillId="3" borderId="44" xfId="1" applyNumberFormat="1" applyFont="1" applyFill="1" applyBorder="1" applyAlignment="1">
      <alignment horizontal="center" vertical="center" wrapText="1" readingOrder="1"/>
    </xf>
    <xf numFmtId="49" fontId="14" fillId="3" borderId="37" xfId="1" applyNumberFormat="1" applyFont="1" applyFill="1" applyBorder="1" applyAlignment="1">
      <alignment horizontal="center" vertical="center" wrapText="1" readingOrder="1"/>
    </xf>
    <xf numFmtId="0" fontId="14" fillId="3" borderId="44" xfId="1" applyFont="1" applyFill="1" applyBorder="1" applyAlignment="1">
      <alignment horizontal="center" vertical="center" wrapText="1" readingOrder="1"/>
    </xf>
    <xf numFmtId="0" fontId="14" fillId="3" borderId="45" xfId="1" applyFont="1" applyFill="1" applyBorder="1" applyAlignment="1">
      <alignment horizontal="center" vertical="center" wrapText="1" readingOrder="1"/>
    </xf>
    <xf numFmtId="0" fontId="4" fillId="3" borderId="44" xfId="1" applyFont="1" applyFill="1" applyBorder="1" applyAlignment="1">
      <alignment horizontal="center" vertical="center" wrapText="1" readingOrder="1"/>
    </xf>
    <xf numFmtId="0" fontId="4" fillId="3" borderId="45" xfId="1" applyFont="1" applyFill="1" applyBorder="1" applyAlignment="1">
      <alignment horizontal="center" vertical="center" wrapText="1" readingOrder="1"/>
    </xf>
    <xf numFmtId="0" fontId="4" fillId="6" borderId="0" xfId="4" applyFont="1" applyFill="1" applyAlignment="1">
      <alignment horizontal="center" vertical="center" wrapText="1"/>
    </xf>
    <xf numFmtId="0" fontId="85" fillId="0" borderId="0" xfId="1" applyFont="1" applyAlignment="1">
      <alignment horizontal="center" vertical="center" wrapText="1" readingOrder="2"/>
    </xf>
    <xf numFmtId="0" fontId="85" fillId="0" borderId="0" xfId="1" applyFont="1" applyAlignment="1">
      <alignment horizontal="center" vertical="center" readingOrder="2"/>
    </xf>
    <xf numFmtId="0" fontId="1" fillId="3" borderId="76" xfId="1" applyFont="1" applyFill="1" applyBorder="1" applyAlignment="1">
      <alignment horizontal="center" vertical="center" wrapText="1" readingOrder="1"/>
    </xf>
    <xf numFmtId="0" fontId="16" fillId="3" borderId="76" xfId="1" applyFont="1" applyFill="1" applyBorder="1" applyAlignment="1">
      <alignment horizontal="center" vertical="center" wrapText="1" readingOrder="1"/>
    </xf>
    <xf numFmtId="0" fontId="1" fillId="3" borderId="76" xfId="1" applyFont="1" applyFill="1" applyBorder="1" applyAlignment="1">
      <alignment horizontal="left" vertical="center" wrapText="1" readingOrder="1"/>
    </xf>
    <xf numFmtId="0" fontId="1" fillId="3" borderId="78" xfId="1" applyFont="1" applyFill="1" applyBorder="1" applyAlignment="1">
      <alignment horizontal="left" vertical="center" wrapText="1" readingOrder="1"/>
    </xf>
    <xf numFmtId="0" fontId="1" fillId="3" borderId="77" xfId="1" applyFont="1" applyFill="1" applyBorder="1" applyAlignment="1">
      <alignment horizontal="left" vertical="center" wrapText="1" readingOrder="1"/>
    </xf>
    <xf numFmtId="0" fontId="81" fillId="3" borderId="76" xfId="1" applyFont="1" applyFill="1" applyBorder="1" applyAlignment="1">
      <alignment horizontal="center" vertical="center" wrapText="1" readingOrder="2"/>
    </xf>
    <xf numFmtId="0" fontId="81" fillId="3" borderId="78" xfId="1" applyFont="1" applyFill="1" applyBorder="1" applyAlignment="1">
      <alignment horizontal="right" vertical="center" wrapText="1" readingOrder="2"/>
    </xf>
    <xf numFmtId="0" fontId="81" fillId="3" borderId="77" xfId="1" applyFont="1" applyFill="1" applyBorder="1" applyAlignment="1">
      <alignment horizontal="right" vertical="center" wrapText="1" readingOrder="2"/>
    </xf>
    <xf numFmtId="0" fontId="81" fillId="3" borderId="76" xfId="1" applyFont="1" applyFill="1" applyBorder="1" applyAlignment="1">
      <alignment horizontal="right" vertical="center" wrapText="1" readingOrder="2"/>
    </xf>
    <xf numFmtId="0" fontId="1" fillId="3" borderId="76" xfId="1" applyFont="1" applyFill="1" applyBorder="1" applyAlignment="1">
      <alignment vertical="center" wrapText="1" readingOrder="1"/>
    </xf>
  </cellXfs>
  <cellStyles count="51">
    <cellStyle name="Comma 2" xfId="35"/>
    <cellStyle name="H1" xfId="2"/>
    <cellStyle name="H1 2" xfId="3"/>
    <cellStyle name="H1 2 2" xfId="27"/>
    <cellStyle name="H2" xfId="4"/>
    <cellStyle name="H2 2" xfId="5"/>
    <cellStyle name="H2 2 2" xfId="28"/>
    <cellStyle name="had" xfId="6"/>
    <cellStyle name="had 2" xfId="26"/>
    <cellStyle name="had 2 2" xfId="36"/>
    <cellStyle name="had0" xfId="7"/>
    <cellStyle name="Had1" xfId="8"/>
    <cellStyle name="Had2" xfId="9"/>
    <cellStyle name="Had3" xfId="10"/>
    <cellStyle name="Had3 2" xfId="37"/>
    <cellStyle name="Had3 2 2" xfId="38"/>
    <cellStyle name="Hyperlink" xfId="50" builtinId="8"/>
    <cellStyle name="inxa" xfId="11"/>
    <cellStyle name="inxa 2" xfId="39"/>
    <cellStyle name="inxe" xfId="12"/>
    <cellStyle name="Normal" xfId="0" builtinId="0"/>
    <cellStyle name="Normal 2" xfId="1"/>
    <cellStyle name="Normal 2 2" xfId="29"/>
    <cellStyle name="Normal 2 3" xfId="40"/>
    <cellStyle name="Normal 3" xfId="33"/>
    <cellStyle name="Normal 4" xfId="34"/>
    <cellStyle name="Normal 5" xfId="41"/>
    <cellStyle name="Normal 5 2" xfId="42"/>
    <cellStyle name="Normal 6" xfId="43"/>
    <cellStyle name="Normal 6 2" xfId="44"/>
    <cellStyle name="Normal 7" xfId="45"/>
    <cellStyle name="NotA" xfId="13"/>
    <cellStyle name="Note 2" xfId="22"/>
    <cellStyle name="T1" xfId="14"/>
    <cellStyle name="T1 2" xfId="24"/>
    <cellStyle name="T1 2 2" xfId="46"/>
    <cellStyle name="T2" xfId="15"/>
    <cellStyle name="T2 2" xfId="30"/>
    <cellStyle name="T2 2 2" xfId="31"/>
    <cellStyle name="T2 3" xfId="23"/>
    <cellStyle name="T2 4" xfId="47"/>
    <cellStyle name="Total 2" xfId="25"/>
    <cellStyle name="Total1" xfId="16"/>
    <cellStyle name="TXT1" xfId="17"/>
    <cellStyle name="TXT1 2" xfId="32"/>
    <cellStyle name="TXT1 2 2" xfId="48"/>
    <cellStyle name="TXT1_ATT50328" xfId="49"/>
    <cellStyle name="TXT2" xfId="18"/>
    <cellStyle name="TXT3" xfId="19"/>
    <cellStyle name="TXT4" xfId="20"/>
    <cellStyle name="TXT5" xfId="21"/>
  </cellStyles>
  <dxfs count="2263">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1" 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auto="1"/>
        </top>
        <bottom style="medium">
          <color auto="1"/>
        </bottom>
      </border>
      <protection locked="1" hidden="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auto="1"/>
        </top>
        <bottom style="medium">
          <color auto="1"/>
        </bottom>
      </border>
      <protection locked="1" hidden="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medium">
          <color auto="1"/>
        </top>
        <bottom style="medium">
          <color auto="1"/>
        </bottom>
      </border>
      <protection locked="1" hidden="0"/>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2"/>
        <color auto="1"/>
        <name val="Arial"/>
        <scheme val="none"/>
      </font>
      <numFmt numFmtId="30" formatCode="@"/>
      <fill>
        <patternFill patternType="solid">
          <fgColor indexed="64"/>
          <bgColor theme="0"/>
        </patternFill>
      </fill>
      <alignment horizontal="center" vertical="center" textRotation="0" wrapText="1" indent="0" justifyLastLine="0" shrinkToFit="0" readingOrder="2"/>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diagonalUp="0" diagonalDown="0">
        <left/>
        <right/>
        <top style="thin">
          <color auto="1"/>
        </top>
        <bottom style="thin">
          <color auto="1"/>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border>
    </dxf>
    <dxf>
      <font>
        <b val="0"/>
        <i val="0"/>
        <strike val="0"/>
        <condense val="0"/>
        <extend val="0"/>
        <outline val="0"/>
        <shadow val="0"/>
        <u val="none"/>
        <vertAlign val="baseline"/>
        <sz val="10"/>
        <color auto="1"/>
        <name val="Arial"/>
        <scheme val="none"/>
      </font>
      <numFmt numFmtId="30" formatCode="@"/>
      <fill>
        <patternFill patternType="solid">
          <fgColor indexed="64"/>
          <bgColor theme="0"/>
        </patternFill>
      </fill>
      <alignment horizontal="center" vertical="center" textRotation="0" wrapText="1" 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1" justifyLastLine="0" shrinkToFit="0" readingOrder="0"/>
      <border diagonalUp="0" diagonalDown="0" outline="0">
        <left/>
        <right/>
        <top style="medium">
          <color auto="1"/>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1" justifyLastLine="0" shrinkToFit="0" readingOrder="0"/>
      <border diagonalUp="0" diagonalDown="0" outline="0">
        <left/>
        <right/>
        <top style="medium">
          <color auto="1"/>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1" justifyLastLine="0" shrinkToFit="0" readingOrder="0"/>
      <border diagonalUp="0" diagonalDown="0" outline="0">
        <left/>
        <right/>
        <top style="medium">
          <color auto="1"/>
        </top>
        <bottom style="medium">
          <color auto="1"/>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medium">
          <color theme="0"/>
        </left>
        <right/>
        <top/>
        <bottom/>
      </border>
    </dxf>
    <dxf>
      <font>
        <b/>
        <i val="0"/>
        <strike val="0"/>
        <condense val="0"/>
        <extend val="0"/>
        <outline val="0"/>
        <shadow val="0"/>
        <u val="none"/>
        <vertAlign val="baseline"/>
        <sz val="12"/>
        <color auto="1"/>
        <name val="Arial"/>
        <scheme val="none"/>
      </font>
      <numFmt numFmtId="30" formatCode="@"/>
      <fill>
        <patternFill patternType="solid">
          <fgColor indexed="64"/>
          <bgColor theme="0"/>
        </patternFill>
      </fill>
      <alignment horizontal="center" vertical="center" textRotation="0" wrapText="1" indent="0" justifyLastLine="0" shrinkToFit="0" readingOrder="2"/>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dxf>
    <dxf>
      <border diagonalUp="0" diagonalDown="0">
        <left style="medium">
          <color theme="0"/>
        </left>
        <right/>
        <top style="thin">
          <color theme="1"/>
        </top>
        <bottom style="thin">
          <color theme="1"/>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indent="0" justifyLastLine="0" shrinkToFit="0" readingOrder="1"/>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style="thin">
          <color indexed="64"/>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relativeIndent="0" justifyLastLine="0" shrinkToFit="0" readingOrder="1"/>
    </dxf>
    <dxf>
      <alignment horizontal="center" vertical="center" textRotation="0" indent="0" justifyLastLine="0" shrinkToFit="0"/>
    </dxf>
    <dxf>
      <font>
        <b/>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0"/>
        </patternFill>
      </fill>
      <alignment horizontal="left" vertical="center" textRotation="0" wrapText="1"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left" vertical="center" textRotation="0" wrapText="1"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color theme="1"/>
        <name val="Arial"/>
        <scheme val="none"/>
      </font>
      <fill>
        <patternFill>
          <fgColor indexed="64"/>
          <bgColor theme="0"/>
        </patternFill>
      </fill>
      <alignment horizontal="right" vertical="center" textRotation="0" wrapText="1" indent="1" justifyLastLine="0" shrinkToFit="0" readingOrder="1"/>
    </dxf>
    <dxf>
      <font>
        <strike val="0"/>
        <outline val="0"/>
        <shadow val="0"/>
        <u val="none"/>
        <vertAlign val="baseline"/>
        <sz val="10"/>
        <color theme="1"/>
        <name val="Arial"/>
        <scheme val="none"/>
      </font>
      <fill>
        <patternFill patternType="none">
          <fgColor indexed="64"/>
          <bgColor theme="0"/>
        </patternFill>
      </fill>
      <alignment horizontal="right" vertical="center" textRotation="0" wrapText="1" indent="1" justifyLastLine="0" shrinkToFit="0" readingOrder="1"/>
      <border diagonalUp="0" diagonalDown="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thin">
          <color indexed="64"/>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style="thin">
          <color indexed="64"/>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right/>
        <top/>
        <bottom style="thin">
          <color indexed="64"/>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style="thin">
          <color indexed="64"/>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right/>
        <top/>
        <bottom style="thin">
          <color indexed="64"/>
        </bottom>
        <vertical/>
        <horizontal/>
      </border>
    </dxf>
    <dxf>
      <font>
        <b/>
        <i val="0"/>
        <strike val="0"/>
        <condense val="0"/>
        <extend val="0"/>
        <outline val="0"/>
        <shadow val="0"/>
        <u val="none"/>
        <vertAlign val="baseline"/>
        <sz val="10"/>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i val="0"/>
        <strike val="0"/>
        <condense val="0"/>
        <extend val="0"/>
        <outline val="0"/>
        <shadow val="0"/>
        <u val="none"/>
        <vertAlign val="baseline"/>
        <sz val="8"/>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numFmt numFmtId="30" formatCode="@"/>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thin">
          <color indexed="64"/>
        </bottom>
        <vertical/>
        <horizontal/>
      </border>
    </dxf>
    <dxf>
      <font>
        <b val="0"/>
        <i val="0"/>
        <strike val="0"/>
        <condense val="0"/>
        <extend val="0"/>
        <outline val="0"/>
        <shadow val="0"/>
        <u val="none"/>
        <vertAlign val="baseline"/>
        <sz val="7"/>
        <color auto="1"/>
        <name val="Arial"/>
        <scheme val="none"/>
      </font>
      <fill>
        <patternFill patternType="solid">
          <fgColor indexed="64"/>
          <bgColor theme="2"/>
        </patternFill>
      </fill>
      <alignment horizontal="center" vertical="top" textRotation="0" wrapText="1" relativeIndent="0" justifyLastLine="0" shrinkToFit="0" readingOrder="2"/>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style="thin">
          <color indexed="64"/>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left style="medium">
          <color auto="1"/>
        </left>
        <right style="medium">
          <color auto="1"/>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auto="1"/>
        </left>
        <right style="medium">
          <color auto="1"/>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1"/>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9"/>
        <color auto="1"/>
        <name val="Arial"/>
        <scheme val="none"/>
      </font>
      <numFmt numFmtId="1" formatCode="0"/>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2"/>
      <border diagonalUp="0" diagonalDown="0" outline="0">
        <left/>
        <right style="medium">
          <color theme="0"/>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1"/>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style="medium">
          <color theme="0"/>
        </left>
        <right/>
        <top/>
        <bottom/>
      </border>
    </dxf>
    <dxf>
      <font>
        <b val="0"/>
        <i val="0"/>
        <strike val="0"/>
        <condense val="0"/>
        <extend val="0"/>
        <outline val="0"/>
        <shadow val="0"/>
        <u val="none"/>
        <vertAlign val="baseline"/>
        <sz val="10"/>
        <color auto="1"/>
        <name val="Arial"/>
        <scheme val="none"/>
      </font>
      <numFmt numFmtId="30" formatCode="@"/>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style="medium">
          <color theme="0"/>
        </right>
        <top/>
        <bottom/>
      </border>
    </dxf>
    <dxf>
      <font>
        <b/>
        <i val="0"/>
        <strike val="0"/>
        <condense val="0"/>
        <extend val="0"/>
        <outline val="0"/>
        <shadow val="0"/>
        <u val="none"/>
        <vertAlign val="baseline"/>
        <sz val="12"/>
        <color auto="1"/>
        <name val="Arial"/>
        <scheme val="none"/>
      </font>
      <numFmt numFmtId="30" formatCode="@"/>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border outline="0">
        <top style="thin">
          <color indexed="64"/>
        </top>
      </border>
    </dxf>
    <dxf>
      <font>
        <b/>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1"/>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ttom style="medium">
          <color theme="0"/>
        </bottom>
      </border>
    </dxf>
    <dxf>
      <alignment horizontal="right" vertical="center" textRotation="0" wrapText="0" indent="1" justifyLastLine="0" shrinkToFit="0"/>
    </dxf>
    <dxf>
      <font>
        <b/>
        <i val="0"/>
        <strike val="0"/>
        <condense val="0"/>
        <extend val="0"/>
        <outline val="0"/>
        <shadow val="0"/>
        <u val="none"/>
        <vertAlign val="baseline"/>
        <sz val="11"/>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border>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general" vertical="top"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relativeIndent="0" justifyLastLine="0" shrinkToFit="0" readingOrder="0"/>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2"/>
        </patternFill>
      </fill>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solid">
          <fgColor indexed="64"/>
          <bgColor theme="2"/>
        </patternFill>
      </fill>
      <alignment horizontal="right" vertical="center" textRotation="0" wrapText="0" indent="1" justifyLastLine="0" shrinkToFit="0" readingOrder="1"/>
      <border diagonalUp="0" diagonalDown="0" outline="0"/>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1"/>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indexed="8"/>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1"/>
      <border diagonalUp="0" diagonalDown="0" outline="0">
        <left style="medium">
          <color theme="0"/>
        </left>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bottom"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top/>
        <bottom style="medium">
          <color theme="0"/>
        </bottom>
      </border>
    </dxf>
    <dxf>
      <border>
        <top style="thin">
          <color auto="1"/>
        </top>
        <vertical/>
        <horizontal/>
      </border>
    </dxf>
    <dxf>
      <border diagonalUp="0" diagonalDown="0">
        <left style="medium">
          <color theme="0"/>
        </left>
        <right style="medium">
          <color theme="0"/>
        </right>
        <top/>
        <bottom/>
        <vertical style="medium">
          <color theme="0"/>
        </vertical>
        <horizontal style="medium">
          <color theme="0"/>
        </horizontal>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auto="1"/>
        <name val="Arial"/>
        <scheme val="none"/>
      </font>
      <numFmt numFmtId="0" formatCode="General"/>
      <fill>
        <patternFill patternType="solid">
          <fgColor indexed="64"/>
          <bgColor theme="0"/>
        </patternFill>
      </fill>
      <alignment horizontal="left" vertical="center" textRotation="0" wrapText="1" indent="1" justifyLastLine="0" shrinkToFit="0" readingOrder="1"/>
      <border diagonalUp="0" diagonalDown="0" outline="0">
        <left/>
        <right style="medium">
          <color theme="0"/>
        </right>
        <top style="thin">
          <color indexed="64"/>
        </top>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style="medium">
          <color theme="0"/>
        </top>
        <bottom/>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solid">
          <fgColor indexed="64"/>
          <bgColor theme="0"/>
        </patternFill>
      </fill>
      <alignment horizontal="right" vertical="center" textRotation="0" wrapText="1" indent="1" justifyLastLine="0" shrinkToFit="0" readingOrder="2"/>
      <border diagonalUp="0" diagonalDown="0" outline="0">
        <left style="medium">
          <color theme="0"/>
        </left>
        <right/>
        <top style="thin">
          <color indexed="64"/>
        </top>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style="medium">
          <color theme="0"/>
        </top>
        <bottom/>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bottom style="thin">
          <color indexed="64"/>
        </bottom>
      </border>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style="thin">
          <color indexed="64"/>
        </top>
        <bottom style="thin">
          <color indexed="64"/>
        </bottom>
      </border>
      <protection locked="1" hidden="0"/>
    </dxf>
    <dxf>
      <font>
        <strike val="0"/>
        <outline val="0"/>
        <shadow val="0"/>
        <u val="none"/>
        <sz val="10"/>
        <color rgb="FF000000"/>
        <name val="Arial"/>
        <scheme val="none"/>
      </font>
      <fill>
        <patternFill patternType="solid">
          <fgColor indexed="64"/>
          <bgColor rgb="FFEEECE1"/>
        </patternFill>
      </fill>
      <alignment horizontal="left" vertical="center" textRotation="0" wrapText="1" indent="1" justifyLastLine="0" shrinkToFit="0" readingOrder="0"/>
      <border diagonalUp="0" diagonalDown="0">
        <left style="medium">
          <color rgb="FFFFFFFF"/>
        </left>
        <right/>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border outline="0">
        <left style="medium">
          <color theme="0"/>
        </left>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right" vertical="center" textRotation="0" wrapText="1" indent="1" justifyLastLine="0" shrinkToFit="0" readingOrder="2"/>
      <border diagonalUp="0" diagonalDown="0" outline="0">
        <left/>
        <right style="medium">
          <color theme="0"/>
        </right>
        <top style="thin">
          <color indexed="64"/>
        </top>
        <bottom style="thin">
          <color indexed="64"/>
        </bottom>
      </border>
      <protection locked="1" hidden="0"/>
    </dxf>
    <dxf>
      <font>
        <b/>
        <strike val="0"/>
        <outline val="0"/>
        <shadow val="0"/>
        <u val="no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1" indent="1" justifyLastLine="0" shrinkToFit="0" readingOrder="1"/>
      <border diagonalUp="0" diagonalDown="0" outlin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1"/>
      <border diagonalUp="0" diagonalDown="0" outline="0">
        <left style="medium">
          <color theme="0"/>
        </left>
        <right/>
        <top style="medium">
          <color theme="0"/>
        </top>
        <bottom/>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thin">
          <color indexed="64"/>
        </top>
        <bottom style="thin">
          <color indexed="64"/>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1"/>
      <border diagonalUp="0" diagonalDown="0">
        <left style="medium">
          <color theme="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right" vertical="center" textRotation="0" wrapText="1" indent="1" justifyLastLine="0" shrinkToFit="0" readingOrder="2"/>
      <border diagonalUp="0" diagonalDown="0" outline="0">
        <left style="medium">
          <color theme="0"/>
        </left>
        <right/>
        <top style="thin">
          <color indexed="64"/>
        </top>
        <bottom style="thin">
          <color indexed="64"/>
        </bottom>
      </border>
      <protection locked="1" hidden="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vertical/>
        <horizontal/>
      </border>
    </dxf>
    <dxf>
      <font>
        <b/>
        <i val="0"/>
        <strike val="0"/>
        <condense val="0"/>
        <extend val="0"/>
        <outline val="0"/>
        <shadow val="0"/>
        <u val="none"/>
        <vertAlign val="baseline"/>
        <sz val="11"/>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diagonalUp="0" diagonalDown="0">
        <left/>
        <right/>
        <top style="thin">
          <color indexed="64"/>
        </top>
        <bottom style="thin">
          <color indexed="64"/>
        </bottom>
      </border>
    </dxf>
    <dxf>
      <border diagonalUp="0" diagonalDown="0">
        <left style="medium">
          <color theme="0"/>
        </left>
        <right style="medium">
          <color theme="0"/>
        </right>
        <top/>
        <bottom/>
        <vertical style="medium">
          <color theme="0"/>
        </vertical>
        <horizontal style="medium">
          <color theme="0"/>
        </horizontal>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alignment horizontal="right" vertical="center" textRotation="0" wrapText="0" indent="1" justifyLastLine="0" shrinkToFit="0" readingOrder="0"/>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right style="medium">
          <color theme="0"/>
        </right>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outline="0">
        <top style="thin">
          <color indexed="64"/>
        </top>
      </border>
    </dxf>
    <dxf>
      <font>
        <b/>
        <i val="0"/>
        <strike val="0"/>
        <condense val="0"/>
        <extend val="0"/>
        <outline val="0"/>
        <shadow val="0"/>
        <u val="none"/>
        <vertAlign val="baseline"/>
        <sz val="10"/>
        <color theme="1"/>
        <name val="Arial"/>
        <scheme val="none"/>
      </font>
      <numFmt numFmtId="165" formatCode="#,##0.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protection locked="1" hidden="0"/>
    </dxf>
    <dxf>
      <border outline="0">
        <left style="medium">
          <color theme="0"/>
        </left>
        <right style="medium">
          <color theme="0"/>
        </right>
        <top style="thin">
          <color indexed="64"/>
        </top>
        <bottom style="medium">
          <color theme="0"/>
        </bottom>
      </border>
    </dxf>
    <dxf>
      <font>
        <b val="0"/>
        <i val="0"/>
        <strike val="0"/>
        <condense val="0"/>
        <extend val="0"/>
        <outline val="0"/>
        <shadow val="0"/>
        <u val="none"/>
        <vertAlign val="baseline"/>
        <sz val="10"/>
        <color theme="1"/>
        <name val="Arial"/>
        <scheme val="none"/>
      </font>
      <numFmt numFmtId="165" formatCode="#,##0.0"/>
      <fill>
        <patternFill patternType="none">
          <fgColor indexed="64"/>
          <bgColor indexed="65"/>
        </patternFill>
      </fill>
      <alignment horizontal="right" vertical="center" textRotation="0" wrapText="0" indent="1" justifyLastLine="0" shrinkToFit="0" readingOrder="0"/>
      <border diagonalUp="0" diagonalDown="0" outline="0"/>
      <protection locked="1" hidden="0"/>
    </dxf>
    <dxf>
      <font>
        <b/>
        <i val="0"/>
        <strike val="0"/>
        <condense val="0"/>
        <extend val="0"/>
        <outline val="0"/>
        <shadow val="0"/>
        <u val="none"/>
        <vertAlign val="baseline"/>
        <sz val="12"/>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2"/>
        <color auto="1"/>
        <name val="Arial"/>
        <scheme val="none"/>
      </font>
      <fill>
        <patternFill patternType="solid">
          <fgColor indexed="64"/>
          <bgColor theme="2"/>
        </patternFill>
      </fill>
      <alignment horizontal="center" vertical="center" textRotation="0" wrapText="1" relativeIndent="0" justifyLastLine="0" shrinkToFit="0" readingOrder="1"/>
      <border diagonalUp="0" diagonalDown="0" outline="0">
        <left style="medium">
          <color theme="0"/>
        </left>
        <right/>
        <top/>
        <bottom/>
      </border>
    </dxf>
    <dxf>
      <border>
        <top style="thin">
          <color auto="1"/>
        </top>
        <vertical/>
        <horizontal/>
      </border>
    </dxf>
    <dxf>
      <font>
        <b/>
        <strike val="0"/>
        <outline val="0"/>
        <shadow val="0"/>
        <u val="none"/>
        <vertAlign val="baseline"/>
        <sz val="10"/>
        <name val="Arial"/>
        <scheme val="none"/>
      </font>
      <fill>
        <patternFill patternType="none">
          <fgColor indexed="64"/>
          <bgColor theme="0"/>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fill>
        <patternFill>
          <fgColor indexed="64"/>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name val="Arial"/>
        <scheme val="none"/>
      </font>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auto="1"/>
        </top>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auto="1"/>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auto="1"/>
        </top>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1"/>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auto="1"/>
        </top>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auto="1"/>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auto="1"/>
        </top>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auto="1"/>
        </top>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relativeIndent="0" justifyLastLine="0" shrinkToFit="0" readingOrder="2"/>
      <border diagonalUp="0" diagonalDown="0" outline="0">
        <left/>
        <right/>
        <top/>
        <bottom style="medium">
          <color theme="0"/>
        </bottom>
      </border>
    </dxf>
    <dxf>
      <border>
        <top style="thin">
          <color auto="1"/>
        </top>
        <vertical/>
        <horizontal/>
      </border>
    </dxf>
    <dxf>
      <font>
        <b/>
        <i val="0"/>
        <strike val="0"/>
        <condense val="0"/>
        <extend val="0"/>
        <outline val="0"/>
        <shadow val="0"/>
        <u val="none"/>
        <vertAlign val="baseline"/>
        <sz val="11"/>
        <color theme="1"/>
        <name val="Arial"/>
        <scheme val="none"/>
      </font>
      <numFmt numFmtId="1" formatCode="0"/>
      <fill>
        <patternFill patternType="none">
          <fgColor indexed="64"/>
          <bgColor indexed="65"/>
        </patternFill>
      </fill>
      <alignment horizontal="right" vertical="center" textRotation="0" wrapText="0" relativeIndent="0" justifyLastLine="0" shrinkToFit="0" readingOrder="0"/>
    </dxf>
    <dxf>
      <border outline="0">
        <bottom style="thin">
          <color indexed="64"/>
        </bottom>
      </border>
    </dxf>
    <dxf>
      <border outline="0">
        <bottom style="medium">
          <color theme="0"/>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1"/>
        <name val="Arial"/>
        <scheme val="none"/>
      </font>
      <numFmt numFmtId="164" formatCode="0.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strike val="0"/>
        <outline val="0"/>
        <shadow val="0"/>
        <u val="none"/>
        <vertAlign val="baseline"/>
        <name val="Arial"/>
        <scheme val="none"/>
      </font>
      <alignment vertical="center" textRotation="0" wrapText="0" indent="0" justifyLastLine="0" shrinkToFit="0" readingOrder="0"/>
    </dxf>
    <dxf>
      <font>
        <strike val="0"/>
        <outline val="0"/>
        <shadow val="0"/>
        <u val="none"/>
        <vertAlign val="baseline"/>
        <name val="Arial"/>
        <scheme val="none"/>
      </font>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dxf>
    <dxf>
      <font>
        <strike val="0"/>
        <outline val="0"/>
        <shadow val="0"/>
        <u val="none"/>
        <vertAlign val="baseline"/>
        <name val="Arial"/>
        <scheme val="none"/>
      </font>
    </dxf>
    <dxf>
      <font>
        <b/>
        <i val="0"/>
        <strike val="0"/>
        <condense val="0"/>
        <extend val="0"/>
        <outline val="0"/>
        <shadow val="0"/>
        <u val="none"/>
        <vertAlign val="baseline"/>
        <sz val="10"/>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1"/>
      <border diagonalUp="0" diagonalDown="0" outline="0">
        <left style="medium">
          <color theme="0"/>
        </left>
        <right/>
        <top style="thin">
          <color indexed="64"/>
        </top>
        <bottom/>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solid">
          <fgColor indexed="64"/>
          <bgColor theme="2"/>
        </patternFill>
      </fill>
      <alignment horizontal="center" vertical="center" textRotation="0" wrapText="1" indent="0" justifyLastLine="0" shrinkToFit="0" readingOrder="2"/>
      <border diagonalUp="0" diagonalDown="0" outline="0">
        <left/>
        <right style="medium">
          <color theme="0"/>
        </right>
        <top style="thin">
          <color indexed="64"/>
        </top>
        <bottom/>
      </border>
      <protection locked="1" hidden="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i val="0"/>
        <strike val="0"/>
        <condense val="0"/>
        <extend val="0"/>
        <outline val="0"/>
        <shadow val="0"/>
        <u val="none"/>
        <vertAlign val="baseline"/>
        <sz val="10"/>
        <color theme="1"/>
        <name val="Arial"/>
        <scheme val="none"/>
      </font>
      <numFmt numFmtId="3" formatCode="#,##0"/>
      <fill>
        <patternFill patternType="solid">
          <fgColor indexed="64"/>
          <bgColor theme="2"/>
        </patternFill>
      </fill>
      <alignment horizontal="right" vertical="center" textRotation="0" wrapText="0" relativeIndent="0" justifyLastLine="0" shrinkToFit="0" readingOrder="1"/>
      <border diagonalUp="0" diagonalDown="0" outline="0">
        <left style="medium">
          <color theme="0"/>
        </left>
        <right style="medium">
          <color theme="0"/>
        </right>
        <top/>
        <bottom/>
      </border>
      <protection locked="1" hidden="0"/>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bottom"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bottom"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name val="Arial"/>
        <scheme val="none"/>
      </font>
      <alignment vertical="bottom" textRotation="0" wrapText="0" indent="0" justifyLastLine="0" shrinkToFit="0" readingOrder="0"/>
      <border diagonalUp="0" diagonalDown="0">
        <left style="medium">
          <color theme="0"/>
        </left>
        <right style="medium">
          <color theme="0"/>
        </right>
        <top/>
        <bottom/>
      </border>
    </dxf>
    <dxf>
      <font>
        <strike val="0"/>
        <outline val="0"/>
        <shadow val="0"/>
        <u val="none"/>
        <vertAlign val="baseline"/>
        <sz val="10"/>
        <name val="Arial"/>
        <scheme val="none"/>
      </font>
      <alignment vertical="bottom" textRotation="0" indent="0" justifyLastLine="0" shrinkToFit="0"/>
      <border diagonalUp="0" diagonalDown="0" outline="0"/>
    </dxf>
    <dxf>
      <font>
        <strike val="0"/>
        <outline val="0"/>
        <shadow val="0"/>
        <u val="none"/>
        <vertAlign val="baseline"/>
        <sz val="10"/>
        <name val="Arial"/>
        <scheme val="none"/>
      </font>
      <alignment vertical="bottom" textRotation="0" indent="0" justifyLastLine="0" shrinkToFit="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medium">
          <color theme="0"/>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auto="1"/>
        </top>
        <bottom style="medium">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alignment vertical="center" textRotation="0" wrapText="0" indent="0" justifyLastLine="0" shrinkToFit="0"/>
      <border diagonalUp="0" diagonalDown="0" outline="0">
        <left style="medium">
          <color theme="0"/>
        </left>
        <right style="medium">
          <color theme="0"/>
        </right>
        <top/>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indexed="64"/>
        </top>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left style="medium">
          <color theme="0"/>
        </left>
        <right style="medium">
          <color theme="0"/>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outline="0">
        <top style="thin">
          <color indexed="64"/>
        </top>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relativeIndent="0" justifyLastLine="0" shrinkToFit="0" readingOrder="0"/>
      <border diagonalUp="0" diagonalDown="0" outline="0">
        <left style="medium">
          <color theme="0"/>
        </left>
        <right style="medium">
          <color theme="0"/>
        </right>
        <top/>
        <bottom/>
      </border>
    </dxf>
    <dxf>
      <border outline="0">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right" vertical="center" textRotation="0" wrapText="0" relativeIndent="0" justifyLastLine="0" shrinkToFit="0" readingOrder="1"/>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0"/>
        <color theme="1"/>
        <name val="Arial"/>
        <scheme val="none"/>
      </font>
      <alignment vertical="center" textRotation="0" indent="0" justifyLastLine="0" shrinkToFit="0"/>
      <border diagonalUp="0" diagonalDown="0" outline="0"/>
    </dxf>
    <dxf>
      <font>
        <strike val="0"/>
        <outline val="0"/>
        <shadow val="0"/>
        <u val="none"/>
        <vertAlign val="baseline"/>
        <sz val="10"/>
        <color theme="1"/>
        <name val="Arial"/>
        <scheme val="none"/>
      </font>
      <alignment vertical="center" textRotation="0" indent="0" justifyLastLine="0" shrinkToFit="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style="thin">
          <color indexed="64"/>
        </top>
        <bottom style="thin">
          <color indexed="64"/>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right" vertical="center" textRotation="0" wrapText="0" indent="1" justifyLastLine="0" shrinkToFit="0" readingOrder="2"/>
      <border diagonalUp="0" diagonalDown="0" outline="0">
        <left/>
        <right style="medium">
          <color theme="0"/>
        </right>
        <top style="medium">
          <color theme="0"/>
        </top>
        <bottom style="medium">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1"/>
        <color theme="1"/>
        <name val="Arial"/>
        <scheme val="none"/>
      </font>
      <border diagonalUp="0" diagonalDown="0" outline="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sz val="11"/>
        <color theme="1"/>
        <name val="Arial"/>
        <scheme val="none"/>
      </font>
    </dxf>
    <dxf>
      <font>
        <strike val="0"/>
        <outline val="0"/>
        <shadow val="0"/>
        <u val="none"/>
        <vertAlign val="baseline"/>
        <sz val="11"/>
        <color theme="1"/>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medium">
          <color theme="0"/>
        </left>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1" justifyLastLine="0" shrinkToFit="0" readingOrder="1"/>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medium">
          <color indexed="64"/>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2"/>
        <color theme="1"/>
        <name val="Arial"/>
        <scheme val="none"/>
      </font>
      <numFmt numFmtId="0" formatCode="General"/>
      <fill>
        <patternFill patternType="none">
          <fgColor indexed="64"/>
          <bgColor indexed="65"/>
        </patternFill>
      </fill>
      <alignment horizontal="center" vertical="center" textRotation="0" wrapText="1" indent="0" justifyLastLine="0" shrinkToFit="0" readingOrder="2"/>
      <border diagonalUp="0" diagonalDown="0" outline="0">
        <left/>
        <right style="medium">
          <color theme="0"/>
        </right>
        <top style="thin">
          <color indexed="64"/>
        </top>
        <bottom style="thin">
          <color indexed="64"/>
        </bottom>
      </border>
      <protection locked="1" hidden="0"/>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right" vertical="center" textRotation="0" wrapText="1" indent="1"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relativeIndent="0" justifyLastLine="0" shrinkToFit="0" readingOrder="1"/>
      <border diagonalUp="0" diagonalDown="0" outline="0">
        <left/>
        <right style="medium">
          <color theme="0"/>
        </right>
        <top/>
        <bottom style="medium">
          <color theme="0"/>
        </bottom>
      </border>
    </dxf>
    <dxf>
      <border>
        <top style="thin">
          <color auto="1"/>
        </top>
        <vertical/>
        <horizontal/>
      </border>
    </dxf>
    <dxf>
      <font>
        <strike val="0"/>
        <outline val="0"/>
        <shadow val="0"/>
        <u val="none"/>
        <vertAlign val="baseline"/>
        <name val="Arial"/>
        <scheme val="none"/>
      </font>
      <border diagonalUp="0" diagonalDown="0">
        <left style="medium">
          <color theme="0"/>
        </left>
        <right style="medium">
          <color theme="0"/>
        </right>
        <top/>
        <bottom/>
      </border>
    </dxf>
    <dxf>
      <border diagonalUp="0" diagonalDown="0">
        <left/>
        <right/>
        <top style="thin">
          <color auto="1"/>
        </top>
        <bottom style="thin">
          <color auto="1"/>
        </bottom>
      </border>
    </dxf>
    <dxf>
      <font>
        <strike val="0"/>
        <outline val="0"/>
        <shadow val="0"/>
        <u val="none"/>
        <vertAlign val="baseline"/>
        <name val="Arial"/>
        <scheme val="none"/>
      </font>
    </dxf>
    <dxf>
      <font>
        <strike val="0"/>
        <outline val="0"/>
        <shadow val="0"/>
        <u val="none"/>
        <vertAlign val="baseline"/>
        <name val="Arial"/>
        <scheme val="none"/>
      </font>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i val="0"/>
        <strike val="0"/>
        <condense val="0"/>
        <extend val="0"/>
        <outline val="0"/>
        <shadow val="0"/>
        <u val="none"/>
        <vertAlign val="baseline"/>
        <sz val="11"/>
        <color auto="1"/>
        <name val="Arial"/>
        <scheme val="none"/>
      </font>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outline="0">
        <left style="medium">
          <color theme="0"/>
        </left>
        <right style="medium">
          <color theme="0"/>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auto="1"/>
        <name val="Arial"/>
        <scheme val="none"/>
      </font>
      <fill>
        <patternFill patternType="solid">
          <fgColor indexed="64"/>
          <bgColor theme="2"/>
        </patternFill>
      </fill>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auto="1"/>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auto="1"/>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auto="1"/>
        </bottom>
      </border>
      <protection locked="1" hidden="0"/>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thin">
          <color indexed="64"/>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auto="1"/>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style="medium">
          <color theme="0"/>
        </left>
        <right style="medium">
          <color theme="0"/>
        </right>
        <top/>
        <bottom style="medium">
          <color theme="0"/>
        </bottom>
      </border>
    </dxf>
    <dxf>
      <font>
        <b/>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outline="0">
        <left style="medium">
          <color theme="0"/>
        </left>
        <right style="medium">
          <color theme="0"/>
        </right>
        <top/>
        <bottom style="thin">
          <color auto="1"/>
        </bottom>
      </border>
      <protection locked="1" hidden="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border diagonalUp="0" diagonalDown="0" outline="0">
        <left/>
        <right style="medium">
          <color theme="0"/>
        </right>
        <top/>
        <bottom style="medium">
          <color theme="0"/>
        </bottom>
      </border>
    </dxf>
    <dxf>
      <border>
        <top style="thin">
          <color auto="1"/>
        </top>
        <vertical/>
        <horizontal/>
      </border>
    </dxf>
    <dxf>
      <font>
        <b/>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strike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bottom/>
      </border>
    </dxf>
    <dxf>
      <font>
        <b/>
        <i val="0"/>
        <strike val="0"/>
        <condense val="0"/>
        <extend val="0"/>
        <outline val="0"/>
        <shadow val="0"/>
        <u val="none"/>
        <vertAlign val="baseline"/>
        <sz val="10"/>
        <color theme="1"/>
        <name val="Arial"/>
        <scheme val="none"/>
      </font>
      <fill>
        <patternFill patternType="solid">
          <fgColor indexed="64"/>
          <bgColor theme="0"/>
        </patternFill>
      </fill>
      <alignment horizontal="center" vertical="center" textRotation="0" wrapText="0" indent="0" justifyLastLine="0" shrinkToFit="0" readingOrder="0"/>
      <border diagonalUp="0" diagonalDown="0">
        <left style="medium">
          <color theme="0"/>
        </left>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style="medium">
          <color theme="0"/>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right/>
        <top/>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center" vertical="center" textRotation="0" wrapText="0" indent="0" justifyLastLine="0" shrinkToFit="0" readingOrder="2"/>
      <border diagonalUp="0" diagonalDown="0">
        <left/>
        <right style="medium">
          <color theme="0"/>
        </right>
        <top style="medium">
          <color theme="0"/>
        </top>
        <bottom style="medium">
          <color theme="0"/>
        </bottom>
        <vertical/>
        <horizontal/>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outline="0">
        <left style="medium">
          <color theme="0"/>
        </left>
        <right/>
        <top/>
        <bottom/>
      </border>
    </dxf>
    <dxf>
      <border>
        <top style="medium">
          <color theme="0"/>
        </top>
      </border>
    </dxf>
    <dxf>
      <border diagonalUp="0" diagonalDown="0">
        <left style="medium">
          <color theme="0"/>
        </left>
        <right/>
        <top style="thin">
          <color indexed="64"/>
        </top>
        <bottom style="thin">
          <color indexed="64"/>
        </bottom>
      </border>
    </dxf>
    <dxf>
      <font>
        <b val="0"/>
        <i val="0"/>
        <strike val="0"/>
        <condense val="0"/>
        <extend val="0"/>
        <outline val="0"/>
        <shadow val="0"/>
        <u val="none"/>
        <vertAlign val="baseline"/>
        <sz val="8"/>
        <color auto="1"/>
        <name val="Arial"/>
        <scheme val="none"/>
      </font>
      <numFmt numFmtId="164" formatCode="0.0"/>
      <fill>
        <patternFill patternType="solid">
          <fgColor indexed="64"/>
          <bgColor theme="2"/>
        </patternFill>
      </fill>
      <alignment horizontal="center" vertical="center" textRotation="0" wrapText="1" relativeIndent="0" justifyLastLine="0" shrinkToFit="0" readingOrder="0"/>
      <border diagonalUp="0" diagonalDown="0">
        <left style="medium">
          <color theme="0"/>
        </left>
        <right style="medium">
          <color theme="0"/>
        </right>
        <top/>
        <bottom/>
        <vertical style="medium">
          <color theme="0"/>
        </vertical>
        <horizontal style="medium">
          <color theme="0"/>
        </horizontal>
      </border>
    </dxf>
    <dxf>
      <font>
        <b val="0"/>
        <i val="0"/>
        <strike val="0"/>
        <condense val="0"/>
        <extend val="0"/>
        <outline val="0"/>
        <shadow val="0"/>
        <u val="none"/>
        <vertAlign val="baseline"/>
        <sz val="10"/>
        <color theme="1"/>
        <name val="Arial"/>
        <scheme val="none"/>
      </font>
      <alignment horizontal="left" vertical="center" textRotation="0" wrapText="0" indent="1" justifyLastLine="0" shrinkToFit="0" readingOrder="0"/>
      <border diagonalUp="0" diagonalDown="0" outline="0">
        <left style="medium">
          <color theme="0"/>
        </left>
        <right style="thin">
          <color indexed="64"/>
        </right>
        <top style="medium">
          <color theme="0"/>
        </top>
        <bottom/>
      </border>
    </dxf>
    <dxf>
      <font>
        <b/>
        <i val="0"/>
        <strike val="0"/>
        <condense val="0"/>
        <extend val="0"/>
        <outline val="0"/>
        <shadow val="0"/>
        <u val="none"/>
        <vertAlign val="baseline"/>
        <sz val="10"/>
        <color theme="1"/>
        <name val="Arial"/>
        <scheme val="none"/>
      </font>
      <fill>
        <patternFill patternType="solid">
          <fgColor indexed="64"/>
          <bgColor theme="2"/>
        </patternFill>
      </fill>
      <alignment horizontal="center" vertical="center" textRotation="0" wrapText="0" indent="0" justifyLastLine="0" shrinkToFit="0" readingOrder="0"/>
      <border diagonalUp="0" diagonalDown="0">
        <left style="medium">
          <color theme="0"/>
        </left>
        <right/>
        <top style="medium">
          <color theme="0"/>
        </top>
        <bottom style="medium">
          <color theme="0"/>
        </bottom>
        <vertical/>
        <horizontal/>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right style="medium">
          <color theme="0"/>
        </right>
        <top style="medium">
          <color theme="0"/>
        </top>
        <bottom style="medium">
          <color theme="0"/>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164" formatCode="0.0"/>
      <alignment horizontal="right" vertical="center" textRotation="0" wrapText="0" indent="1" justifyLastLine="0" shrinkToFit="0" readingOrder="0"/>
      <border diagonalUp="0" diagonalDown="0">
        <left style="medium">
          <color theme="0"/>
        </left>
        <right style="medium">
          <color theme="0"/>
        </right>
        <top style="medium">
          <color theme="0"/>
        </top>
        <bottom style="medium">
          <color theme="0"/>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border>
    </dxf>
    <dxf>
      <font>
        <b val="0"/>
        <i val="0"/>
        <strike val="0"/>
        <condense val="0"/>
        <extend val="0"/>
        <outline val="0"/>
        <shadow val="0"/>
        <u val="none"/>
        <vertAlign val="baseline"/>
        <sz val="10"/>
        <color theme="1"/>
        <name val="Arial"/>
        <scheme val="none"/>
      </font>
      <numFmt numFmtId="3" formatCode="#,##0"/>
      <alignment horizontal="right" vertical="center" textRotation="0" wrapText="0" indent="1" justifyLastLine="0" shrinkToFit="0" readingOrder="0"/>
      <border diagonalUp="0" diagonalDown="0" outline="0">
        <left style="medium">
          <color theme="0"/>
        </left>
        <right style="medium">
          <color theme="0"/>
        </right>
        <top style="medium">
          <color theme="0"/>
        </top>
        <bottom style="medium">
          <color theme="0"/>
        </bottom>
      </border>
    </dxf>
    <dxf>
      <font>
        <b/>
        <i val="0"/>
        <strike val="0"/>
        <condense val="0"/>
        <extend val="0"/>
        <outline val="0"/>
        <shadow val="0"/>
        <u val="none"/>
        <vertAlign val="baseline"/>
        <sz val="12"/>
        <color theme="1"/>
        <name val="Arial"/>
        <scheme val="none"/>
      </font>
      <alignment horizontal="right" vertical="center" textRotation="0" wrapText="0" indent="1" justifyLastLine="0" shrinkToFit="0" readingOrder="2"/>
      <border diagonalUp="0" diagonalDown="0" outline="0">
        <left/>
        <right style="medium">
          <color theme="0"/>
        </right>
        <top style="medium">
          <color theme="0"/>
        </top>
        <bottom/>
      </border>
    </dxf>
    <dxf>
      <font>
        <b/>
        <i val="0"/>
        <strike val="0"/>
        <condense val="0"/>
        <extend val="0"/>
        <outline val="0"/>
        <shadow val="0"/>
        <u val="none"/>
        <vertAlign val="baseline"/>
        <sz val="12"/>
        <color theme="1"/>
        <name val="Arial"/>
        <scheme val="none"/>
      </font>
      <alignment horizontal="center" vertical="center" textRotation="0" wrapText="0" indent="0" justifyLastLine="0" shrinkToFit="0" readingOrder="2"/>
      <border diagonalUp="0" diagonalDown="0" outline="0">
        <left/>
        <right style="medium">
          <color theme="0"/>
        </right>
        <top style="medium">
          <color theme="0"/>
        </top>
        <bottom style="medium">
          <color theme="0"/>
        </bottom>
      </border>
    </dxf>
    <dxf>
      <border>
        <top style="medium">
          <color theme="0"/>
        </top>
        <vertical/>
        <horizontal/>
      </border>
    </dxf>
    <dxf>
      <border diagonalUp="0" diagonalDown="0">
        <left/>
        <right/>
        <top style="thin">
          <color indexed="64"/>
        </top>
        <bottom style="thin">
          <color indexed="64"/>
        </bottom>
      </border>
    </dxf>
    <dxf>
      <alignment vertical="center" textRotation="0" wrapText="0" indent="0" justifyLastLine="0" shrinkToFit="0"/>
    </dxf>
    <dxf>
      <border outline="0">
        <bottom style="medium">
          <color theme="0"/>
        </bottom>
      </border>
    </dxf>
    <dxf>
      <alignment vertical="center" textRotation="0" wrapText="0" indent="0" justifyLastLine="0" shrinkToFit="0" readingOrder="0"/>
      <border diagonalUp="0" diagonalDown="0">
        <left style="medium">
          <color theme="0"/>
        </left>
        <right style="medium">
          <color theme="0"/>
        </right>
        <top/>
        <bottom/>
      </border>
    </dxf>
    <dxf>
      <border>
        <top style="thin">
          <color auto="1"/>
        </top>
      </border>
    </dxf>
    <dxf>
      <border>
        <top style="thin">
          <color auto="1"/>
        </top>
      </border>
    </dxf>
    <dxf>
      <fill>
        <patternFill>
          <bgColor theme="2"/>
        </patternFill>
      </fill>
    </dxf>
    <dxf>
      <border>
        <right/>
        <top/>
        <bottom/>
      </border>
    </dxf>
    <dxf>
      <font>
        <b/>
        <color theme="1"/>
      </font>
    </dxf>
    <dxf>
      <font>
        <b/>
        <color theme="1"/>
      </font>
      <border>
        <top style="thin">
          <color auto="1"/>
        </top>
      </border>
    </dxf>
    <dxf>
      <border>
        <top style="thin">
          <color auto="1"/>
        </top>
      </border>
    </dxf>
    <dxf>
      <font>
        <b/>
        <color theme="1"/>
      </font>
      <border>
        <top style="thin">
          <color theme="1"/>
        </top>
        <bottom style="thin">
          <color theme="1"/>
        </bottom>
      </border>
    </dxf>
  </dxfs>
  <tableStyles count="1" defaultTableStyle="VITAL" defaultPivotStyle="PivotStyleLight16">
    <tableStyle name="VITAL" pivot="0" count="8">
      <tableStyleElement type="headerRow" dxfId="2262"/>
      <tableStyleElement type="totalRow" dxfId="2261"/>
      <tableStyleElement type="firstColumn" dxfId="2260"/>
      <tableStyleElement type="lastColumn" dxfId="2259"/>
      <tableStyleElement type="firstRowStripe" dxfId="2258"/>
      <tableStyleElement type="secondRowStripe" dxfId="2257"/>
      <tableStyleElement type="firstColumnStripe" dxfId="2256"/>
      <tableStyleElement type="secondColumnStripe" dxfId="2255"/>
    </tableStyle>
  </tableStyles>
  <colors>
    <mruColors>
      <color rgb="FFEEEEEE"/>
      <color rgb="FFECECEC"/>
      <color rgb="FFF2F2F2"/>
      <color rgb="FFEAEAEA"/>
      <color rgb="FFE4E4E4"/>
      <color rgb="FF993366"/>
      <color rgb="FF0000FF"/>
      <color rgb="FFEE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onnections" Target="connection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عقود الزواج وإشهادات الطلاق المسجلة حسب جنسية الزوج</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REGISTERED MARRIAGES AND DIVORCES BY HUSBAND'S NATIONALITY</a:t>
            </a:r>
          </a:p>
          <a:p>
            <a:pPr rtl="0">
              <a:defRPr sz="10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2012 - 2021</a:t>
            </a:r>
          </a:p>
        </c:rich>
      </c:tx>
      <c:layout>
        <c:manualLayout>
          <c:xMode val="edge"/>
          <c:yMode val="edge"/>
          <c:x val="0.15436476193230173"/>
          <c:y val="1.9666634934881844E-2"/>
        </c:manualLayout>
      </c:layout>
      <c:overlay val="0"/>
      <c:spPr>
        <a:noFill/>
        <a:ln w="25400">
          <a:noFill/>
        </a:ln>
      </c:spPr>
    </c:title>
    <c:autoTitleDeleted val="0"/>
    <c:plotArea>
      <c:layout>
        <c:manualLayout>
          <c:layoutTarget val="inner"/>
          <c:xMode val="edge"/>
          <c:yMode val="edge"/>
          <c:x val="6.6782062278934837E-2"/>
          <c:y val="0.20342405101709257"/>
          <c:w val="0.92993123698505864"/>
          <c:h val="0.72152515683971108"/>
        </c:manualLayout>
      </c:layout>
      <c:lineChart>
        <c:grouping val="standard"/>
        <c:varyColors val="0"/>
        <c:ser>
          <c:idx val="1"/>
          <c:order val="0"/>
          <c:tx>
            <c:strRef>
              <c:f>'1'!$A$22</c:f>
              <c:strCache>
                <c:ptCount val="1"/>
                <c:pt idx="0">
                  <c:v>إشهادات الطلاق غير قطريين
Divorces Non-Qataris</c:v>
                </c:pt>
              </c:strCache>
            </c:strRef>
          </c:tx>
          <c:spPr>
            <a:ln w="25400">
              <a:solidFill>
                <a:srgbClr val="FF00FF"/>
              </a:solidFill>
              <a:prstDash val="solid"/>
            </a:ln>
          </c:spPr>
          <c:marker>
            <c:symbol val="square"/>
            <c:size val="8"/>
            <c:spPr>
              <a:solidFill>
                <a:srgbClr val="FF00FF"/>
              </a:solidFill>
              <a:ln>
                <a:solidFill>
                  <a:srgbClr val="FF00FF"/>
                </a:solidFill>
                <a:prstDash val="solid"/>
              </a:ln>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C2-4E25-9038-102D591BC173}"/>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C2-4E25-9038-102D591BC173}"/>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C2-4E25-9038-102D591BC173}"/>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C2-4E25-9038-102D591BC173}"/>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C2-4E25-9038-102D591BC173}"/>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7C2-4E25-9038-102D591BC173}"/>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7C2-4E25-9038-102D591BC173}"/>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7C2-4E25-9038-102D591BC173}"/>
                </c:ext>
              </c:extLst>
            </c:dLbl>
            <c:dLbl>
              <c:idx val="9"/>
              <c:layout>
                <c:manualLayout>
                  <c:x val="-4.7738059670325794E-2"/>
                  <c:y val="-2.360391479562482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7C2-4E25-9038-102D591BC173}"/>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'1'!$E$23:$E$32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'1'!$A$23:$A$32</c:f>
              <c:numCache>
                <c:formatCode>General</c:formatCode>
                <c:ptCount val="10"/>
                <c:pt idx="0" formatCode="#,##0">
                  <c:v>585</c:v>
                </c:pt>
                <c:pt idx="1">
                  <c:v>509</c:v>
                </c:pt>
                <c:pt idx="2">
                  <c:v>512</c:v>
                </c:pt>
                <c:pt idx="3">
                  <c:v>500</c:v>
                </c:pt>
                <c:pt idx="4">
                  <c:v>421</c:v>
                </c:pt>
                <c:pt idx="5">
                  <c:v>420</c:v>
                </c:pt>
                <c:pt idx="6">
                  <c:v>383</c:v>
                </c:pt>
                <c:pt idx="7">
                  <c:v>718</c:v>
                </c:pt>
                <c:pt idx="8">
                  <c:v>684</c:v>
                </c:pt>
                <c:pt idx="9">
                  <c:v>817</c:v>
                </c:pt>
              </c:numCache>
            </c:numRef>
          </c:val>
          <c:smooth val="0"/>
          <c:extLst xmlns:c16r2="http://schemas.microsoft.com/office/drawing/2015/06/chart">
            <c:ext xmlns:c16="http://schemas.microsoft.com/office/drawing/2014/chart" uri="{C3380CC4-5D6E-409C-BE32-E72D297353CC}">
              <c16:uniqueId val="{00000009-27C2-4E25-9038-102D591BC173}"/>
            </c:ext>
          </c:extLst>
        </c:ser>
        <c:ser>
          <c:idx val="2"/>
          <c:order val="1"/>
          <c:tx>
            <c:strRef>
              <c:f>'1'!$B$22</c:f>
              <c:strCache>
                <c:ptCount val="1"/>
                <c:pt idx="0">
                  <c:v>إشهادات الطلاق قطريون 
Divorces Qataris</c:v>
                </c:pt>
              </c:strCache>
            </c:strRef>
          </c:tx>
          <c:spPr>
            <a:ln w="25400">
              <a:solidFill>
                <a:srgbClr val="339966"/>
              </a:solidFill>
              <a:prstDash val="solid"/>
            </a:ln>
          </c:spPr>
          <c:marker>
            <c:symbol val="triangle"/>
            <c:size val="12"/>
            <c:spPr>
              <a:solidFill>
                <a:srgbClr val="008000"/>
              </a:solidFill>
              <a:ln>
                <a:solidFill>
                  <a:srgbClr val="008000"/>
                </a:solidFill>
                <a:prstDash val="solid"/>
              </a:ln>
            </c:spPr>
          </c:marker>
          <c:dLbls>
            <c:dLbl>
              <c:idx val="0"/>
              <c:layout>
                <c:manualLayout>
                  <c:x val="-5.6042431660546933E-2"/>
                  <c:y val="-9.7869890616004724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7C2-4E25-9038-102D591BC173}"/>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7C2-4E25-9038-102D591BC173}"/>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7C2-4E25-9038-102D591BC173}"/>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7C2-4E25-9038-102D591BC173}"/>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7C2-4E25-9038-102D591BC173}"/>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7C2-4E25-9038-102D591BC173}"/>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7C2-4E25-9038-102D591BC173}"/>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7C2-4E25-9038-102D591BC173}"/>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7C2-4E25-9038-102D591BC173}"/>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'1'!$E$23:$E$32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'1'!$B$23:$B$32</c:f>
              <c:numCache>
                <c:formatCode>General</c:formatCode>
                <c:ptCount val="10"/>
                <c:pt idx="0" formatCode="#,##0">
                  <c:v>835</c:v>
                </c:pt>
                <c:pt idx="1">
                  <c:v>816</c:v>
                </c:pt>
                <c:pt idx="2">
                  <c:v>803</c:v>
                </c:pt>
                <c:pt idx="3">
                  <c:v>807</c:v>
                </c:pt>
                <c:pt idx="4">
                  <c:v>730</c:v>
                </c:pt>
                <c:pt idx="5">
                  <c:v>786</c:v>
                </c:pt>
                <c:pt idx="6">
                  <c:v>799</c:v>
                </c:pt>
                <c:pt idx="7">
                  <c:v>1115</c:v>
                </c:pt>
                <c:pt idx="8">
                  <c:v>1144</c:v>
                </c:pt>
                <c:pt idx="9">
                  <c:v>1324</c:v>
                </c:pt>
              </c:numCache>
            </c:numRef>
          </c:val>
          <c:smooth val="0"/>
          <c:extLst xmlns:c16r2="http://schemas.microsoft.com/office/drawing/2015/06/chart">
            <c:ext xmlns:c16="http://schemas.microsoft.com/office/drawing/2014/chart" uri="{C3380CC4-5D6E-409C-BE32-E72D297353CC}">
              <c16:uniqueId val="{00000013-27C2-4E25-9038-102D591BC173}"/>
            </c:ext>
          </c:extLst>
        </c:ser>
        <c:ser>
          <c:idx val="3"/>
          <c:order val="2"/>
          <c:tx>
            <c:strRef>
              <c:f>'1'!$C$22</c:f>
              <c:strCache>
                <c:ptCount val="1"/>
                <c:pt idx="0">
                  <c:v>عقود الزواج غير قطريين
Non-Qataris Marriages</c:v>
                </c:pt>
              </c:strCache>
            </c:strRef>
          </c:tx>
          <c:spPr>
            <a:ln w="25400">
              <a:solidFill>
                <a:srgbClr val="0000FF"/>
              </a:solidFill>
              <a:prstDash val="solid"/>
            </a:ln>
          </c:spPr>
          <c:marker>
            <c:symbol val="diamond"/>
            <c:size val="12"/>
            <c:spPr>
              <a:solidFill>
                <a:srgbClr val="0000FF"/>
              </a:solidFill>
              <a:ln>
                <a:solidFill>
                  <a:srgbClr val="0000FF"/>
                </a:solidFill>
                <a:prstDash val="solid"/>
              </a:ln>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7C2-4E25-9038-102D591BC173}"/>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7C2-4E25-9038-102D591BC173}"/>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7C2-4E25-9038-102D591BC173}"/>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7C2-4E25-9038-102D591BC173}"/>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7C2-4E25-9038-102D591BC173}"/>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7C2-4E25-9038-102D591BC173}"/>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7C2-4E25-9038-102D591BC173}"/>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7C2-4E25-9038-102D591BC173}"/>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'1'!$E$23:$E$32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'1'!$C$23:$C$32</c:f>
              <c:numCache>
                <c:formatCode>General</c:formatCode>
                <c:ptCount val="10"/>
                <c:pt idx="0" formatCode="#,##0">
                  <c:v>1479</c:v>
                </c:pt>
                <c:pt idx="1">
                  <c:v>1547</c:v>
                </c:pt>
                <c:pt idx="2">
                  <c:v>1598</c:v>
                </c:pt>
                <c:pt idx="3">
                  <c:v>1655</c:v>
                </c:pt>
                <c:pt idx="4">
                  <c:v>1733</c:v>
                </c:pt>
                <c:pt idx="5">
                  <c:v>1537</c:v>
                </c:pt>
                <c:pt idx="6">
                  <c:v>1574</c:v>
                </c:pt>
                <c:pt idx="7">
                  <c:v>1544</c:v>
                </c:pt>
                <c:pt idx="8">
                  <c:v>1553</c:v>
                </c:pt>
                <c:pt idx="9">
                  <c:v>1961</c:v>
                </c:pt>
              </c:numCache>
            </c:numRef>
          </c:val>
          <c:smooth val="0"/>
          <c:extLst xmlns:c16r2="http://schemas.microsoft.com/office/drawing/2015/06/chart">
            <c:ext xmlns:c16="http://schemas.microsoft.com/office/drawing/2014/chart" uri="{C3380CC4-5D6E-409C-BE32-E72D297353CC}">
              <c16:uniqueId val="{0000001C-27C2-4E25-9038-102D591BC173}"/>
            </c:ext>
          </c:extLst>
        </c:ser>
        <c:ser>
          <c:idx val="4"/>
          <c:order val="3"/>
          <c:tx>
            <c:strRef>
              <c:f>'1'!$D$22</c:f>
              <c:strCache>
                <c:ptCount val="1"/>
                <c:pt idx="0">
                  <c:v>عقود الزواج قطريون 
Marriages Qataris</c:v>
                </c:pt>
              </c:strCache>
            </c:strRef>
          </c:tx>
          <c:spPr>
            <a:ln w="25400">
              <a:solidFill>
                <a:srgbClr val="800080"/>
              </a:solidFill>
              <a:prstDash val="solid"/>
            </a:ln>
          </c:spPr>
          <c:marker>
            <c:symbol val="circle"/>
            <c:size val="12"/>
            <c:spPr>
              <a:solidFill>
                <a:srgbClr val="993366"/>
              </a:solidFill>
              <a:ln>
                <a:solidFill>
                  <a:srgbClr val="993366"/>
                </a:solidFill>
                <a:prstDash val="solid"/>
              </a:ln>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7C2-4E25-9038-102D591BC173}"/>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7C2-4E25-9038-102D591BC173}"/>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7C2-4E25-9038-102D591BC173}"/>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7C2-4E25-9038-102D591BC173}"/>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7C2-4E25-9038-102D591BC173}"/>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7C2-4E25-9038-102D591BC173}"/>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7C2-4E25-9038-102D591BC173}"/>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27C2-4E25-9038-102D591BC173}"/>
                </c:ext>
              </c:extLst>
            </c:dLbl>
            <c:dLbl>
              <c:idx val="9"/>
              <c:layout>
                <c:manualLayout>
                  <c:x val="-2.1348830784156995E-2"/>
                  <c:y val="-2.699741871109086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27C2-4E25-9038-102D591BC173}"/>
                </c:ext>
              </c:extLst>
            </c:dLbl>
            <c:numFmt formatCode="#,##0" sourceLinked="0"/>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'1'!$E$23:$E$32</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'1'!$D$23:$D$32</c:f>
              <c:numCache>
                <c:formatCode>General</c:formatCode>
                <c:ptCount val="10"/>
                <c:pt idx="0" formatCode="#,##0">
                  <c:v>2053</c:v>
                </c:pt>
                <c:pt idx="1">
                  <c:v>2072</c:v>
                </c:pt>
                <c:pt idx="2">
                  <c:v>2076</c:v>
                </c:pt>
                <c:pt idx="3">
                  <c:v>2069</c:v>
                </c:pt>
                <c:pt idx="4">
                  <c:v>2097</c:v>
                </c:pt>
                <c:pt idx="5">
                  <c:v>2181</c:v>
                </c:pt>
                <c:pt idx="6">
                  <c:v>2184</c:v>
                </c:pt>
                <c:pt idx="7">
                  <c:v>2077</c:v>
                </c:pt>
                <c:pt idx="8">
                  <c:v>2694</c:v>
                </c:pt>
                <c:pt idx="9">
                  <c:v>2429</c:v>
                </c:pt>
              </c:numCache>
            </c:numRef>
          </c:val>
          <c:smooth val="0"/>
          <c:extLst xmlns:c16r2="http://schemas.microsoft.com/office/drawing/2015/06/chart">
            <c:ext xmlns:c16="http://schemas.microsoft.com/office/drawing/2014/chart" uri="{C3380CC4-5D6E-409C-BE32-E72D297353CC}">
              <c16:uniqueId val="{00000026-27C2-4E25-9038-102D591BC173}"/>
            </c:ext>
          </c:extLst>
        </c:ser>
        <c:dLbls>
          <c:showLegendKey val="0"/>
          <c:showVal val="1"/>
          <c:showCatName val="0"/>
          <c:showSerName val="0"/>
          <c:showPercent val="0"/>
          <c:showBubbleSize val="0"/>
        </c:dLbls>
        <c:marker val="1"/>
        <c:smooth val="0"/>
        <c:axId val="152638208"/>
        <c:axId val="152639744"/>
      </c:lineChart>
      <c:catAx>
        <c:axId val="152638208"/>
        <c:scaling>
          <c:orientation val="minMax"/>
        </c:scaling>
        <c:delete val="0"/>
        <c:axPos val="b"/>
        <c:majorGridlines>
          <c:spPr>
            <a:ln w="3175">
              <a:solidFill>
                <a:schemeClr val="bg1">
                  <a:lumMod val="85000"/>
                </a:schemeClr>
              </a:solidFill>
              <a:prstDash val="sysDot"/>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52639744"/>
        <c:crosses val="autoZero"/>
        <c:auto val="1"/>
        <c:lblAlgn val="ctr"/>
        <c:lblOffset val="100"/>
        <c:tickLblSkip val="1"/>
        <c:tickMarkSkip val="1"/>
        <c:noMultiLvlLbl val="0"/>
      </c:catAx>
      <c:valAx>
        <c:axId val="152639744"/>
        <c:scaling>
          <c:orientation val="minMax"/>
        </c:scaling>
        <c:delete val="0"/>
        <c:axPos val="l"/>
        <c:majorGridlines>
          <c:spPr>
            <a:ln w="3175">
              <a:solidFill>
                <a:schemeClr val="bg1">
                  <a:lumMod val="85000"/>
                </a:schemeClr>
              </a:solidFill>
              <a:prstDash val="solid"/>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Arial"/>
                    <a:cs typeface="Arial"/>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Number</a:t>
                </a:r>
              </a:p>
            </c:rich>
          </c:tx>
          <c:layout>
            <c:manualLayout>
              <c:xMode val="edge"/>
              <c:yMode val="edge"/>
              <c:x val="4.9630331346351654E-3"/>
              <c:y val="0.11053870022102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ysClr val="windowText" lastClr="000000"/>
                </a:solidFill>
                <a:latin typeface="Arial"/>
                <a:ea typeface="Arial"/>
                <a:cs typeface="Arial"/>
              </a:defRPr>
            </a:pPr>
            <a:endParaRPr lang="en-US"/>
          </a:p>
        </c:txPr>
        <c:crossAx val="152638208"/>
        <c:crosses val="autoZero"/>
        <c:crossBetween val="between"/>
      </c:valAx>
      <c:spPr>
        <a:noFill/>
        <a:ln w="25400">
          <a:noFill/>
        </a:ln>
      </c:spPr>
    </c:plotArea>
    <c:legend>
      <c:legendPos val="t"/>
      <c:layout>
        <c:manualLayout>
          <c:xMode val="edge"/>
          <c:yMode val="edge"/>
          <c:x val="6.3887405751147694E-2"/>
          <c:y val="0.13094223552634432"/>
          <c:w val="0.89180903182695803"/>
          <c:h val="6.1986681416889004E-2"/>
        </c:manualLayout>
      </c:layout>
      <c:overlay val="0"/>
      <c:txPr>
        <a:bodyPr/>
        <a:lstStyle/>
        <a:p>
          <a:pPr>
            <a:defRPr sz="1000" b="1"/>
          </a:pPr>
          <a:endParaRPr lang="en-US"/>
        </a:p>
      </c:txPr>
    </c:legend>
    <c:plotVisOnly val="1"/>
    <c:dispBlanksAs val="gap"/>
    <c:showDLblsOverMax val="0"/>
  </c:chart>
  <c:spPr>
    <a:solidFill>
      <a:schemeClr val="bg1"/>
    </a:solidFill>
    <a:ln w="25400">
      <a:no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000000000001221" l="0.70000000000000062" r="0.70000000000000062" t="0.75000000000001221" header="0.30000000000000032" footer="0.30000000000000032"/>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 والشهر</a:t>
            </a:r>
            <a:endParaRPr lang="ar-QA" sz="14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 AND MONTH</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28741098456266811"/>
          <c:y val="1.0555969660418954E-2"/>
        </c:manualLayout>
      </c:layout>
      <c:overlay val="0"/>
      <c:spPr>
        <a:noFill/>
        <a:ln w="25400">
          <a:noFill/>
        </a:ln>
      </c:spPr>
    </c:title>
    <c:autoTitleDeleted val="0"/>
    <c:plotArea>
      <c:layout>
        <c:manualLayout>
          <c:layoutTarget val="inner"/>
          <c:xMode val="edge"/>
          <c:yMode val="edge"/>
          <c:x val="7.108582114947018E-2"/>
          <c:y val="0.18485117071209706"/>
          <c:w val="0.91665048069667765"/>
          <c:h val="0.66204923179784392"/>
        </c:manualLayout>
      </c:layout>
      <c:barChart>
        <c:barDir val="col"/>
        <c:grouping val="clustered"/>
        <c:varyColors val="0"/>
        <c:ser>
          <c:idx val="1"/>
          <c:order val="0"/>
          <c:tx>
            <c:strRef>
              <c:f>'23'!$C$26</c:f>
              <c:strCache>
                <c:ptCount val="1"/>
                <c:pt idx="0">
                  <c:v>قطري  Qatari</c:v>
                </c:pt>
              </c:strCache>
            </c:strRef>
          </c:tx>
          <c:spPr>
            <a:solidFill>
              <a:srgbClr val="993366"/>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'23'!$A$27:$A$38</c:f>
              <c:strCache>
                <c:ptCount val="12"/>
                <c:pt idx="0">
                  <c:v> يناير
Jan</c:v>
                </c:pt>
                <c:pt idx="1">
                  <c:v>فبراير 
Feb</c:v>
                </c:pt>
                <c:pt idx="2">
                  <c:v>مارس 
Mar</c:v>
                </c:pt>
                <c:pt idx="3">
                  <c:v> ابريل
Apr</c:v>
                </c:pt>
                <c:pt idx="4">
                  <c:v>مايو
May</c:v>
                </c:pt>
                <c:pt idx="5">
                  <c:v>يونيو
Jun</c:v>
                </c:pt>
                <c:pt idx="6">
                  <c:v>يوليو
Jul</c:v>
                </c:pt>
                <c:pt idx="7">
                  <c:v>اغسطس
Aug</c:v>
                </c:pt>
                <c:pt idx="8">
                  <c:v>سبتمبر
Sep</c:v>
                </c:pt>
                <c:pt idx="9">
                  <c:v>اكتوبر
 Oct</c:v>
                </c:pt>
                <c:pt idx="10">
                  <c:v>نوفمبر
Nov</c:v>
                </c:pt>
                <c:pt idx="11">
                  <c:v>ديسمبر
Dec</c:v>
                </c:pt>
              </c:strCache>
            </c:strRef>
          </c:cat>
          <c:val>
            <c:numRef>
              <c:f>'23'!$C$27:$C$38</c:f>
              <c:numCache>
                <c:formatCode>General</c:formatCode>
                <c:ptCount val="12"/>
                <c:pt idx="0" formatCode="#,##0">
                  <c:v>122</c:v>
                </c:pt>
                <c:pt idx="1">
                  <c:v>111</c:v>
                </c:pt>
                <c:pt idx="2">
                  <c:v>117</c:v>
                </c:pt>
                <c:pt idx="3">
                  <c:v>90</c:v>
                </c:pt>
                <c:pt idx="4">
                  <c:v>55</c:v>
                </c:pt>
                <c:pt idx="5">
                  <c:v>131</c:v>
                </c:pt>
                <c:pt idx="6">
                  <c:v>88</c:v>
                </c:pt>
                <c:pt idx="7">
                  <c:v>157</c:v>
                </c:pt>
                <c:pt idx="8">
                  <c:v>134</c:v>
                </c:pt>
                <c:pt idx="9">
                  <c:v>105</c:v>
                </c:pt>
                <c:pt idx="10">
                  <c:v>106</c:v>
                </c:pt>
                <c:pt idx="11">
                  <c:v>108</c:v>
                </c:pt>
              </c:numCache>
            </c:numRef>
          </c:val>
          <c:extLst xmlns:c16r2="http://schemas.microsoft.com/office/drawing/2015/06/chart">
            <c:ext xmlns:c16="http://schemas.microsoft.com/office/drawing/2014/chart" uri="{C3380CC4-5D6E-409C-BE32-E72D297353CC}">
              <c16:uniqueId val="{00000000-45CA-4652-A4E9-35B0D003CD01}"/>
            </c:ext>
          </c:extLst>
        </c:ser>
        <c:ser>
          <c:idx val="0"/>
          <c:order val="1"/>
          <c:tx>
            <c:strRef>
              <c:f>'23'!$B$26</c:f>
              <c:strCache>
                <c:ptCount val="1"/>
                <c:pt idx="0">
                  <c:v>غير قطري Non Qatari</c:v>
                </c:pt>
              </c:strCache>
            </c:strRef>
          </c:tx>
          <c:spPr>
            <a:solidFill>
              <a:schemeClr val="bg1">
                <a:lumMod val="65000"/>
              </a:schemeClr>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'23'!$A$27:$A$38</c:f>
              <c:strCache>
                <c:ptCount val="12"/>
                <c:pt idx="0">
                  <c:v> يناير
Jan</c:v>
                </c:pt>
                <c:pt idx="1">
                  <c:v>فبراير 
Feb</c:v>
                </c:pt>
                <c:pt idx="2">
                  <c:v>مارس 
Mar</c:v>
                </c:pt>
                <c:pt idx="3">
                  <c:v> ابريل
Apr</c:v>
                </c:pt>
                <c:pt idx="4">
                  <c:v>مايو
May</c:v>
                </c:pt>
                <c:pt idx="5">
                  <c:v>يونيو
Jun</c:v>
                </c:pt>
                <c:pt idx="6">
                  <c:v>يوليو
Jul</c:v>
                </c:pt>
                <c:pt idx="7">
                  <c:v>اغسطس
Aug</c:v>
                </c:pt>
                <c:pt idx="8">
                  <c:v>سبتمبر
Sep</c:v>
                </c:pt>
                <c:pt idx="9">
                  <c:v>اكتوبر
 Oct</c:v>
                </c:pt>
                <c:pt idx="10">
                  <c:v>نوفمبر
Nov</c:v>
                </c:pt>
                <c:pt idx="11">
                  <c:v>ديسمبر
Dec</c:v>
                </c:pt>
              </c:strCache>
            </c:strRef>
          </c:cat>
          <c:val>
            <c:numRef>
              <c:f>'23'!$B$27:$B$38</c:f>
              <c:numCache>
                <c:formatCode>#,##0</c:formatCode>
                <c:ptCount val="12"/>
                <c:pt idx="0">
                  <c:v>72</c:v>
                </c:pt>
                <c:pt idx="1">
                  <c:v>72</c:v>
                </c:pt>
                <c:pt idx="2" formatCode="General">
                  <c:v>61</c:v>
                </c:pt>
                <c:pt idx="3" formatCode="General">
                  <c:v>59</c:v>
                </c:pt>
                <c:pt idx="4" formatCode="General">
                  <c:v>41</c:v>
                </c:pt>
                <c:pt idx="5" formatCode="General">
                  <c:v>85</c:v>
                </c:pt>
                <c:pt idx="6" formatCode="General">
                  <c:v>53</c:v>
                </c:pt>
                <c:pt idx="7" formatCode="General">
                  <c:v>85</c:v>
                </c:pt>
                <c:pt idx="8" formatCode="General">
                  <c:v>79</c:v>
                </c:pt>
                <c:pt idx="9" formatCode="General">
                  <c:v>58</c:v>
                </c:pt>
                <c:pt idx="10" formatCode="General">
                  <c:v>68</c:v>
                </c:pt>
                <c:pt idx="11" formatCode="General">
                  <c:v>84</c:v>
                </c:pt>
              </c:numCache>
            </c:numRef>
          </c:val>
          <c:extLst xmlns:c16r2="http://schemas.microsoft.com/office/drawing/2015/06/chart">
            <c:ext xmlns:c16="http://schemas.microsoft.com/office/drawing/2014/chart" uri="{C3380CC4-5D6E-409C-BE32-E72D297353CC}">
              <c16:uniqueId val="{00000001-45CA-4652-A4E9-35B0D003CD01}"/>
            </c:ext>
          </c:extLst>
        </c:ser>
        <c:dLbls>
          <c:showLegendKey val="0"/>
          <c:showVal val="0"/>
          <c:showCatName val="0"/>
          <c:showSerName val="0"/>
          <c:showPercent val="0"/>
          <c:showBubbleSize val="0"/>
        </c:dLbls>
        <c:gapWidth val="150"/>
        <c:axId val="157081984"/>
        <c:axId val="157083904"/>
      </c:barChart>
      <c:catAx>
        <c:axId val="15708198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الشهور</a:t>
                </a:r>
              </a:p>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Month</a:t>
                </a:r>
              </a:p>
            </c:rich>
          </c:tx>
          <c:layout>
            <c:manualLayout>
              <c:xMode val="edge"/>
              <c:yMode val="edge"/>
              <c:x val="0.47864677005566852"/>
              <c:y val="0.92611923509561311"/>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7083904"/>
        <c:crosses val="autoZero"/>
        <c:auto val="1"/>
        <c:lblAlgn val="ctr"/>
        <c:lblOffset val="100"/>
        <c:tickLblSkip val="1"/>
        <c:tickMarkSkip val="1"/>
        <c:noMultiLvlLbl val="0"/>
      </c:catAx>
      <c:valAx>
        <c:axId val="157083904"/>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1.7066581446203103E-2"/>
              <c:y val="7.3969488753664825E-2"/>
            </c:manualLayout>
          </c:layout>
          <c:overlay val="0"/>
          <c:spPr>
            <a:noFill/>
            <a:ln w="25400">
              <a:noFill/>
            </a:ln>
          </c:spPr>
        </c:title>
        <c:numFmt formatCode="#,##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7081984"/>
        <c:crosses val="autoZero"/>
        <c:crossBetween val="between"/>
      </c:valAx>
      <c:spPr>
        <a:noFill/>
        <a:ln w="25400">
          <a:noFill/>
        </a:ln>
      </c:spPr>
    </c:plotArea>
    <c:legend>
      <c:legendPos val="r"/>
      <c:layout>
        <c:manualLayout>
          <c:xMode val="edge"/>
          <c:yMode val="edge"/>
          <c:x val="0.65448440140021957"/>
          <c:y val="0.13038574997402433"/>
          <c:w val="0.32601881360094925"/>
          <c:h val="5.6343800398444159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إشهادات الطلاق للقطريين حسب نوع الطلاق</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QATARIS DIVORCES BY TYPE OF DIVORCE</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28465140359327745"/>
          <c:y val="1.4958893006021306E-2"/>
        </c:manualLayout>
      </c:layout>
      <c:overlay val="0"/>
      <c:spPr>
        <a:noFill/>
        <a:ln w="25400">
          <a:noFill/>
        </a:ln>
      </c:spPr>
    </c:title>
    <c:autoTitleDeleted val="0"/>
    <c:plotArea>
      <c:layout>
        <c:manualLayout>
          <c:layoutTarget val="inner"/>
          <c:xMode val="edge"/>
          <c:yMode val="edge"/>
          <c:x val="0.23990722663780203"/>
          <c:y val="0.20837002126558563"/>
          <c:w val="0.48470022915761451"/>
          <c:h val="0.75270053834513373"/>
        </c:manualLayout>
      </c:layout>
      <c:pieChart>
        <c:varyColors val="1"/>
        <c:ser>
          <c:idx val="0"/>
          <c:order val="0"/>
          <c:spPr>
            <a:ln w="0">
              <a:noFill/>
            </a:ln>
          </c:spPr>
          <c:dPt>
            <c:idx val="0"/>
            <c:bubble3D val="0"/>
            <c:spPr>
              <a:solidFill>
                <a:schemeClr val="accent2">
                  <a:lumMod val="20000"/>
                  <a:lumOff val="80000"/>
                </a:schemeClr>
              </a:solidFill>
              <a:ln w="0">
                <a:noFill/>
              </a:ln>
              <a:scene3d>
                <a:camera prst="orthographicFront"/>
                <a:lightRig rig="threePt" dir="t"/>
              </a:scene3d>
              <a:sp3d prstMaterial="metal">
                <a:bevelB prst="slope"/>
                <a:contourClr>
                  <a:srgbClr val="000000"/>
                </a:contourClr>
              </a:sp3d>
            </c:spPr>
            <c:extLst xmlns:c16r2="http://schemas.microsoft.com/office/drawing/2015/06/chart">
              <c:ext xmlns:c16="http://schemas.microsoft.com/office/drawing/2014/chart" uri="{C3380CC4-5D6E-409C-BE32-E72D297353CC}">
                <c16:uniqueId val="{00000001-354E-4756-9962-69D2254EBE2B}"/>
              </c:ext>
            </c:extLst>
          </c:dPt>
          <c:dPt>
            <c:idx val="1"/>
            <c:bubble3D val="0"/>
            <c:spPr>
              <a:ln w="0">
                <a:noFill/>
              </a:ln>
              <a:scene3d>
                <a:camera prst="orthographicFront"/>
                <a:lightRig rig="threePt" dir="t"/>
              </a:scene3d>
              <a:sp3d prstMaterial="softEdge">
                <a:bevelB prst="slope"/>
                <a:contourClr>
                  <a:srgbClr val="000000"/>
                </a:contourClr>
              </a:sp3d>
            </c:spPr>
            <c:extLst xmlns:c16r2="http://schemas.microsoft.com/office/drawing/2015/06/chart">
              <c:ext xmlns:c16="http://schemas.microsoft.com/office/drawing/2014/chart" uri="{C3380CC4-5D6E-409C-BE32-E72D297353CC}">
                <c16:uniqueId val="{00000003-354E-4756-9962-69D2254EBE2B}"/>
              </c:ext>
            </c:extLst>
          </c:dPt>
          <c:dPt>
            <c:idx val="2"/>
            <c:bubble3D val="0"/>
            <c:spPr>
              <a:ln w="0">
                <a:noFill/>
              </a:ln>
              <a:scene3d>
                <a:camera prst="orthographicFront"/>
                <a:lightRig rig="threePt" dir="t"/>
              </a:scene3d>
              <a:sp3d prstMaterial="metal">
                <a:contourClr>
                  <a:srgbClr val="000000"/>
                </a:contourClr>
              </a:sp3d>
            </c:spPr>
            <c:extLst xmlns:c16r2="http://schemas.microsoft.com/office/drawing/2015/06/chart">
              <c:ext xmlns:c16="http://schemas.microsoft.com/office/drawing/2014/chart" uri="{C3380CC4-5D6E-409C-BE32-E72D297353CC}">
                <c16:uniqueId val="{00000005-354E-4756-9962-69D2254EBE2B}"/>
              </c:ext>
            </c:extLst>
          </c:dPt>
          <c:dPt>
            <c:idx val="3"/>
            <c:bubble3D val="0"/>
            <c:spPr>
              <a:ln w="0">
                <a:noFill/>
              </a:ln>
              <a:scene3d>
                <a:camera prst="orthographicFront"/>
                <a:lightRig rig="threePt" dir="t"/>
              </a:scene3d>
              <a:sp3d prstMaterial="metal">
                <a:bevelB prst="slope"/>
                <a:contourClr>
                  <a:srgbClr val="000000"/>
                </a:contourClr>
              </a:sp3d>
            </c:spPr>
            <c:extLst xmlns:c16r2="http://schemas.microsoft.com/office/drawing/2015/06/chart">
              <c:ext xmlns:c16="http://schemas.microsoft.com/office/drawing/2014/chart" uri="{C3380CC4-5D6E-409C-BE32-E72D297353CC}">
                <c16:uniqueId val="{00000007-354E-4756-9962-69D2254EBE2B}"/>
              </c:ext>
            </c:extLst>
          </c:dPt>
          <c:dLbls>
            <c:dLbl>
              <c:idx val="1"/>
              <c:numFmt formatCode="0.0%" sourceLinked="0"/>
              <c:spPr/>
              <c:txPr>
                <a:bodyPr/>
                <a:lstStyle/>
                <a:p>
                  <a:pPr>
                    <a:defRPr>
                      <a:solidFill>
                        <a:schemeClr val="bg1"/>
                      </a:solidFill>
                      <a:latin typeface="Arial" pitchFamily="34" charset="0"/>
                      <a:cs typeface="Arial" pitchFamily="34" charset="0"/>
                    </a:defRPr>
                  </a:pPr>
                  <a:endParaRPr lang="en-US"/>
                </a:p>
              </c:txPr>
              <c:showLegendKey val="0"/>
              <c:showVal val="0"/>
              <c:showCatName val="1"/>
              <c:showSerName val="0"/>
              <c:showPercent val="1"/>
              <c:showBubbleSize val="0"/>
            </c:dLbl>
            <c:dLbl>
              <c:idx val="3"/>
              <c:layout>
                <c:manualLayout>
                  <c:x val="-5.5046677217782235E-3"/>
                  <c:y val="-1.2178477690288713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54E-4756-9962-69D2254EBE2B}"/>
                </c:ext>
              </c:extLst>
            </c:dLbl>
            <c:dLbl>
              <c:idx val="4"/>
              <c:layout>
                <c:manualLayout>
                  <c:x val="1.2372985212054485E-3"/>
                  <c:y val="6.5865755751119345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54E-4756-9962-69D2254EBE2B}"/>
                </c:ext>
              </c:extLst>
            </c:dLbl>
            <c:numFmt formatCode="0.0%" sourceLinked="0"/>
            <c:spPr>
              <a:noFill/>
              <a:ln>
                <a:noFill/>
              </a:ln>
              <a:effectLst/>
            </c:spPr>
            <c:txPr>
              <a:bodyPr/>
              <a:lstStyle/>
              <a:p>
                <a:pPr>
                  <a:defRPr>
                    <a:latin typeface="Arial" pitchFamily="34" charset="0"/>
                    <a:cs typeface="Arial" pitchFamily="34" charset="0"/>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'24'!$A$24:$E$24</c:f>
              <c:strCache>
                <c:ptCount val="5"/>
                <c:pt idx="0">
                  <c:v>بينونة صغرى
Minor irrevocable divorce</c:v>
                </c:pt>
                <c:pt idx="1">
                  <c:v>رجعي
Revocable divorce </c:v>
                </c:pt>
                <c:pt idx="2">
                  <c:v>خلع
Divorce against compensation</c:v>
                </c:pt>
                <c:pt idx="3">
                  <c:v>بينونة كبرى
Major  irrevocable divorce</c:v>
                </c:pt>
                <c:pt idx="4">
                  <c:v>غير مبين
Not Stated</c:v>
                </c:pt>
              </c:strCache>
            </c:strRef>
          </c:cat>
          <c:val>
            <c:numRef>
              <c:f>'24'!$A$25:$E$25</c:f>
              <c:numCache>
                <c:formatCode>#,##0</c:formatCode>
                <c:ptCount val="5"/>
                <c:pt idx="0">
                  <c:v>666</c:v>
                </c:pt>
                <c:pt idx="1">
                  <c:v>556</c:v>
                </c:pt>
                <c:pt idx="2">
                  <c:v>69</c:v>
                </c:pt>
                <c:pt idx="3">
                  <c:v>33</c:v>
                </c:pt>
                <c:pt idx="4">
                  <c:v>0</c:v>
                </c:pt>
              </c:numCache>
            </c:numRef>
          </c:val>
          <c:extLst xmlns:c16r2="http://schemas.microsoft.com/office/drawing/2015/06/chart">
            <c:ext xmlns:c16="http://schemas.microsoft.com/office/drawing/2014/chart" uri="{C3380CC4-5D6E-409C-BE32-E72D297353CC}">
              <c16:uniqueId val="{00000009-354E-4756-9962-69D2254EBE2B}"/>
            </c:ext>
          </c:extLst>
        </c:ser>
        <c:dLbls>
          <c:showLegendKey val="0"/>
          <c:showVal val="0"/>
          <c:showCatName val="1"/>
          <c:showSerName val="0"/>
          <c:showPercent val="1"/>
          <c:showBubbleSize val="0"/>
          <c:showLeaderLines val="1"/>
        </c:dLbls>
        <c:firstSliceAng val="102"/>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1"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جنسية الزوج</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HUSBAND</a:t>
            </a:r>
          </a:p>
          <a:p>
            <a:pPr>
              <a:defRPr sz="1000" b="1"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31386217328131505"/>
          <c:y val="2.1999355343739941E-2"/>
        </c:manualLayout>
      </c:layout>
      <c:overlay val="0"/>
      <c:spPr>
        <a:noFill/>
        <a:ln w="25400">
          <a:noFill/>
        </a:ln>
      </c:spPr>
    </c:title>
    <c:autoTitleDeleted val="0"/>
    <c:plotArea>
      <c:layout>
        <c:manualLayout>
          <c:layoutTarget val="inner"/>
          <c:xMode val="edge"/>
          <c:yMode val="edge"/>
          <c:x val="0.32391906875450088"/>
          <c:y val="0.18202022992739941"/>
          <c:w val="0.4485620571073004"/>
          <c:h val="0.693391250070349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1-C960-4997-800A-139E803D4BC7}"/>
              </c:ext>
            </c:extLst>
          </c:dPt>
          <c:dPt>
            <c:idx val="1"/>
            <c:bubble3D val="0"/>
            <c:spPr>
              <a:solidFill>
                <a:schemeClr val="accent1">
                  <a:lumMod val="75000"/>
                </a:schemeClr>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3-C960-4997-800A-139E803D4BC7}"/>
              </c:ext>
            </c:extLst>
          </c:dPt>
          <c:dLbls>
            <c:dLbl>
              <c:idx val="0"/>
              <c:layout>
                <c:manualLayout>
                  <c:x val="0.12259305579178729"/>
                  <c:y val="0.19016948462837494"/>
                </c:manualLayout>
              </c:layout>
              <c:numFmt formatCode="0.0%" sourceLinked="0"/>
              <c:spPr/>
              <c:txPr>
                <a:bodyPr/>
                <a:lstStyle/>
                <a:p>
                  <a:pPr>
                    <a:defRPr b="1">
                      <a:solidFill>
                        <a:schemeClr val="bg1"/>
                      </a:solidFill>
                      <a:latin typeface="Arial" pitchFamily="34" charset="0"/>
                      <a:cs typeface="Arial" pitchFamily="34" charset="0"/>
                    </a:defRPr>
                  </a:pPr>
                  <a:endParaRPr lang="en-US"/>
                </a:p>
              </c:txPr>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960-4997-800A-139E803D4BC7}"/>
                </c:ext>
              </c:extLst>
            </c:dLbl>
            <c:dLbl>
              <c:idx val="5"/>
              <c:layout>
                <c:manualLayout>
                  <c:x val="-3.7107724939719255E-2"/>
                  <c:y val="-8.697430263077581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960-4997-800A-139E803D4BC7}"/>
                </c:ext>
              </c:extLst>
            </c:dLbl>
            <c:numFmt formatCode="0.0%" sourceLinked="0"/>
            <c:spPr>
              <a:noFill/>
              <a:ln>
                <a:noFill/>
              </a:ln>
              <a:effectLst/>
            </c:spPr>
            <c:txPr>
              <a:bodyPr/>
              <a:lstStyle/>
              <a:p>
                <a:pPr>
                  <a:defRPr b="1">
                    <a:latin typeface="Arial" pitchFamily="34" charset="0"/>
                    <a:cs typeface="Arial" pitchFamily="34" charset="0"/>
                  </a:defRPr>
                </a:pPr>
                <a:endParaRPr lang="en-U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'24'!$A$30:$A$35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'24'!$B$30:$B$35</c:f>
              <c:numCache>
                <c:formatCode>General</c:formatCode>
                <c:ptCount val="6"/>
                <c:pt idx="0" formatCode="#,##0">
                  <c:v>1324</c:v>
                </c:pt>
                <c:pt idx="1">
                  <c:v>65</c:v>
                </c:pt>
                <c:pt idx="2">
                  <c:v>578</c:v>
                </c:pt>
                <c:pt idx="3">
                  <c:v>109</c:v>
                </c:pt>
                <c:pt idx="4">
                  <c:v>30</c:v>
                </c:pt>
                <c:pt idx="5">
                  <c:v>35</c:v>
                </c:pt>
              </c:numCache>
            </c:numRef>
          </c:val>
          <c:extLst xmlns:c16r2="http://schemas.microsoft.com/office/drawing/2015/06/chart">
            <c:ext xmlns:c16="http://schemas.microsoft.com/office/drawing/2014/chart" uri="{C3380CC4-5D6E-409C-BE32-E72D297353CC}">
              <c16:uniqueId val="{00000005-C960-4997-800A-139E803D4BC7}"/>
            </c:ext>
          </c:extLst>
        </c:ser>
        <c:dLbls>
          <c:showLegendKey val="0"/>
          <c:showVal val="0"/>
          <c:showCatName val="1"/>
          <c:showSerName val="0"/>
          <c:showPercent val="1"/>
          <c:showBubbleSize val="0"/>
          <c:showLeaderLines val="1"/>
        </c:dLbls>
        <c:firstSliceAng val="220"/>
      </c:pieChart>
      <c:spPr>
        <a:noFill/>
        <a:ln w="25400">
          <a:noFill/>
        </a:ln>
      </c:spPr>
    </c:plotArea>
    <c:plotVisOnly val="1"/>
    <c:dispBlanksAs val="zero"/>
    <c:showDLblsOverMax val="0"/>
  </c:chart>
  <c:spPr>
    <a:ln>
      <a:noFill/>
    </a:ln>
  </c:spPr>
  <c:txPr>
    <a:bodyPr/>
    <a:lstStyle/>
    <a:p>
      <a:pPr>
        <a:defRPr sz="1000" b="1"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Arial"/>
                <a:cs typeface="Arial"/>
              </a:rPr>
              <a:t>اشهادات الطلاق حسب جنسية الزوجة والزوج</a:t>
            </a:r>
            <a:endParaRPr lang="ar-QA" sz="1200" b="1" i="0" u="none" strike="noStrike" baseline="0">
              <a:solidFill>
                <a:srgbClr val="000000"/>
              </a:solidFill>
              <a:latin typeface="Arial"/>
              <a:cs typeface="Arial"/>
            </a:endParaRP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NATIONALITY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overlay val="0"/>
    </c:title>
    <c:autoTitleDeleted val="0"/>
    <c:plotArea>
      <c:layout>
        <c:manualLayout>
          <c:layoutTarget val="inner"/>
          <c:xMode val="edge"/>
          <c:yMode val="edge"/>
          <c:x val="8.7795636783934164E-2"/>
          <c:y val="0.15088217880402621"/>
          <c:w val="0.77199872378339907"/>
          <c:h val="0.66978475825514672"/>
        </c:manualLayout>
      </c:layout>
      <c:barChart>
        <c:barDir val="col"/>
        <c:grouping val="clustered"/>
        <c:varyColors val="0"/>
        <c:ser>
          <c:idx val="0"/>
          <c:order val="0"/>
          <c:tx>
            <c:strRef>
              <c:f>'36'!$B$21</c:f>
              <c:strCache>
                <c:ptCount val="1"/>
                <c:pt idx="0">
                  <c:v>الزوج Husband</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'36'!$A$22:$A$27</c:f>
              <c:strCache>
                <c:ptCount val="6"/>
                <c:pt idx="0">
                  <c:v>قطر
Qatar</c:v>
                </c:pt>
                <c:pt idx="1">
                  <c:v>بافي دول مجلس التعاون
Other G.C.C. Countries</c:v>
                </c:pt>
                <c:pt idx="2">
                  <c:v>باقي الدول العربية
Other Arabs Countries</c:v>
                </c:pt>
                <c:pt idx="3">
                  <c:v>دول آسيوية
Asian Countries</c:v>
                </c:pt>
                <c:pt idx="4">
                  <c:v>دول أوروبية
Europen Countries</c:v>
                </c:pt>
                <c:pt idx="5">
                  <c:v>دول أخرى
Other Countries</c:v>
                </c:pt>
              </c:strCache>
            </c:strRef>
          </c:cat>
          <c:val>
            <c:numRef>
              <c:f>'36'!$B$22:$B$27</c:f>
              <c:numCache>
                <c:formatCode>General</c:formatCode>
                <c:ptCount val="6"/>
                <c:pt idx="0" formatCode="#,##0">
                  <c:v>1324</c:v>
                </c:pt>
                <c:pt idx="1">
                  <c:v>65</c:v>
                </c:pt>
                <c:pt idx="2">
                  <c:v>578</c:v>
                </c:pt>
                <c:pt idx="3">
                  <c:v>109</c:v>
                </c:pt>
                <c:pt idx="4">
                  <c:v>30</c:v>
                </c:pt>
                <c:pt idx="5">
                  <c:v>35</c:v>
                </c:pt>
              </c:numCache>
            </c:numRef>
          </c:val>
          <c:extLst xmlns:c16r2="http://schemas.microsoft.com/office/drawing/2015/06/chart">
            <c:ext xmlns:c16="http://schemas.microsoft.com/office/drawing/2014/chart" uri="{C3380CC4-5D6E-409C-BE32-E72D297353CC}">
              <c16:uniqueId val="{00000000-4282-4D00-ABCF-67DC2F2F1067}"/>
            </c:ext>
          </c:extLst>
        </c:ser>
        <c:ser>
          <c:idx val="1"/>
          <c:order val="1"/>
          <c:tx>
            <c:strRef>
              <c:f>'36'!$C$21</c:f>
              <c:strCache>
                <c:ptCount val="1"/>
                <c:pt idx="0">
                  <c:v>الزوجة Wife</c:v>
                </c:pt>
              </c:strCache>
            </c:strRef>
          </c:tx>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'36'!$A$22:$A$27</c:f>
              <c:strCache>
                <c:ptCount val="6"/>
                <c:pt idx="0">
                  <c:v>قطر
Qatar</c:v>
                </c:pt>
                <c:pt idx="1">
                  <c:v>بافي دول مجلس التعاون
Other G.C.C. Countries</c:v>
                </c:pt>
                <c:pt idx="2">
                  <c:v>باقي الدول العربية
Other Arabs Countries</c:v>
                </c:pt>
                <c:pt idx="3">
                  <c:v>دول آسيوية
Asian Countries</c:v>
                </c:pt>
                <c:pt idx="4">
                  <c:v>دول أوروبية
Europen Countries</c:v>
                </c:pt>
                <c:pt idx="5">
                  <c:v>دول أخرى
Other Countries</c:v>
                </c:pt>
              </c:strCache>
            </c:strRef>
          </c:cat>
          <c:val>
            <c:numRef>
              <c:f>'36'!$C$22:$C$27</c:f>
              <c:numCache>
                <c:formatCode>General</c:formatCode>
                <c:ptCount val="6"/>
                <c:pt idx="0" formatCode="#,##0">
                  <c:v>1217</c:v>
                </c:pt>
                <c:pt idx="1">
                  <c:v>137</c:v>
                </c:pt>
                <c:pt idx="2">
                  <c:v>555</c:v>
                </c:pt>
                <c:pt idx="3">
                  <c:v>150</c:v>
                </c:pt>
                <c:pt idx="4">
                  <c:v>43</c:v>
                </c:pt>
                <c:pt idx="5">
                  <c:v>39</c:v>
                </c:pt>
              </c:numCache>
            </c:numRef>
          </c:val>
          <c:extLst xmlns:c16r2="http://schemas.microsoft.com/office/drawing/2015/06/chart">
            <c:ext xmlns:c16="http://schemas.microsoft.com/office/drawing/2014/chart" uri="{C3380CC4-5D6E-409C-BE32-E72D297353CC}">
              <c16:uniqueId val="{00000001-4282-4D00-ABCF-67DC2F2F1067}"/>
            </c:ext>
          </c:extLst>
        </c:ser>
        <c:dLbls>
          <c:showLegendKey val="0"/>
          <c:showVal val="1"/>
          <c:showCatName val="0"/>
          <c:showSerName val="0"/>
          <c:showPercent val="0"/>
          <c:showBubbleSize val="0"/>
        </c:dLbls>
        <c:gapWidth val="150"/>
        <c:axId val="161112064"/>
        <c:axId val="161113984"/>
      </c:barChart>
      <c:catAx>
        <c:axId val="16111206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333399"/>
                    </a:solidFill>
                    <a:latin typeface="Arial"/>
                    <a:cs typeface="Arial"/>
                  </a:rPr>
                  <a:t>الجنسية</a:t>
                </a:r>
              </a:p>
              <a:p>
                <a:pPr>
                  <a:defRPr sz="1100" b="0" i="0" u="none" strike="noStrike" baseline="0">
                    <a:solidFill>
                      <a:srgbClr val="000000"/>
                    </a:solidFill>
                    <a:latin typeface="Calibri"/>
                    <a:ea typeface="Calibri"/>
                    <a:cs typeface="Calibri"/>
                  </a:defRPr>
                </a:pPr>
                <a:r>
                  <a:rPr lang="ar-QA" sz="1000" b="1" i="0" u="none" strike="noStrike" baseline="0">
                    <a:solidFill>
                      <a:srgbClr val="333399"/>
                    </a:solidFill>
                    <a:latin typeface="Arial"/>
                    <a:cs typeface="Arial"/>
                  </a:rPr>
                  <a:t>   </a:t>
                </a:r>
                <a:r>
                  <a:rPr lang="en-US" sz="1000" b="1" i="0" u="none" strike="noStrike" baseline="0">
                    <a:solidFill>
                      <a:srgbClr val="333399"/>
                    </a:solidFill>
                    <a:latin typeface="Arial"/>
                    <a:cs typeface="Arial"/>
                  </a:rPr>
                  <a:t>Nationality</a:t>
                </a:r>
                <a:endParaRPr lang="ar-QA" sz="1200" b="1" i="0" u="none" strike="noStrike" baseline="0">
                  <a:solidFill>
                    <a:srgbClr val="333399"/>
                  </a:solidFill>
                  <a:latin typeface="Arial"/>
                  <a:cs typeface="Arial"/>
                </a:endParaRPr>
              </a:p>
            </c:rich>
          </c:tx>
          <c:layout/>
          <c:overlay val="0"/>
        </c:title>
        <c:numFmt formatCode="General"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1113984"/>
        <c:crosses val="autoZero"/>
        <c:auto val="1"/>
        <c:lblAlgn val="ctr"/>
        <c:lblOffset val="100"/>
        <c:noMultiLvlLbl val="0"/>
      </c:catAx>
      <c:valAx>
        <c:axId val="161113984"/>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rgbClr val="000000"/>
                    </a:solidFill>
                    <a:latin typeface="Calibri"/>
                    <a:ea typeface="Calibri"/>
                    <a:cs typeface="Calibri"/>
                  </a:defRPr>
                </a:pPr>
                <a:r>
                  <a:rPr lang="ar-QA" sz="1000" b="1" i="0" u="none" strike="noStrike" baseline="0">
                    <a:solidFill>
                      <a:srgbClr val="333399"/>
                    </a:solidFill>
                    <a:latin typeface="Arial"/>
                    <a:cs typeface="Arial"/>
                  </a:rPr>
                  <a:t>العدد</a:t>
                </a:r>
              </a:p>
              <a:p>
                <a:pPr algn="ctr">
                  <a:defRPr sz="1000" b="0" i="0" u="none" strike="noStrike" baseline="0">
                    <a:solidFill>
                      <a:srgbClr val="000000"/>
                    </a:solidFill>
                    <a:latin typeface="Calibri"/>
                    <a:ea typeface="Calibri"/>
                    <a:cs typeface="Calibri"/>
                  </a:defRPr>
                </a:pPr>
                <a:r>
                  <a:rPr lang="en-US" sz="1000" b="1" i="0" u="none" strike="noStrike" baseline="0">
                    <a:solidFill>
                      <a:srgbClr val="333399"/>
                    </a:solidFill>
                    <a:latin typeface="Arial"/>
                    <a:cs typeface="Arial"/>
                  </a:rPr>
                  <a:t>Number</a:t>
                </a:r>
              </a:p>
            </c:rich>
          </c:tx>
          <c:layout>
            <c:manualLayout>
              <c:xMode val="edge"/>
              <c:yMode val="edge"/>
              <c:x val="2.4464889257263887E-2"/>
              <c:y val="6.9901106968575905E-2"/>
            </c:manualLayout>
          </c:layout>
          <c:overlay val="0"/>
        </c:title>
        <c:numFmt formatCode="#,##0" sourceLinked="1"/>
        <c:majorTickMark val="none"/>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1112064"/>
        <c:crosses val="autoZero"/>
        <c:crossBetween val="between"/>
      </c:valAx>
    </c:plotArea>
    <c:legend>
      <c:legendPos val="r"/>
      <c:layout>
        <c:manualLayout>
          <c:xMode val="edge"/>
          <c:yMode val="edge"/>
          <c:x val="0.8740710042823594"/>
          <c:y val="0.49555840254885875"/>
          <c:w val="0.11657227057144173"/>
          <c:h val="0.10811537040502478"/>
        </c:manualLayout>
      </c:layout>
      <c:overlay val="0"/>
      <c:txPr>
        <a:bodyPr/>
        <a:lstStyle/>
        <a:p>
          <a:pPr>
            <a:defRPr sz="92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26269698310183137"/>
          <c:y val="1.5811503351184801E-2"/>
        </c:manualLayout>
      </c:layout>
      <c:overlay val="0"/>
      <c:spPr>
        <a:noFill/>
        <a:ln w="25400">
          <a:noFill/>
        </a:ln>
      </c:spPr>
    </c:title>
    <c:autoTitleDeleted val="0"/>
    <c:plotArea>
      <c:layout>
        <c:manualLayout>
          <c:layoutTarget val="inner"/>
          <c:xMode val="edge"/>
          <c:yMode val="edge"/>
          <c:x val="6.7787784953847061E-2"/>
          <c:y val="0.23490970482819701"/>
          <c:w val="0.90836686425432778"/>
          <c:h val="0.59393843783586797"/>
        </c:manualLayout>
      </c:layout>
      <c:barChart>
        <c:barDir val="col"/>
        <c:grouping val="clustered"/>
        <c:varyColors val="0"/>
        <c:ser>
          <c:idx val="0"/>
          <c:order val="0"/>
          <c:tx>
            <c:strRef>
              <c:f>'38.3'!$B$27</c:f>
              <c:strCache>
                <c:ptCount val="1"/>
                <c:pt idx="0">
                  <c:v>الزوج Husband</c:v>
                </c:pt>
              </c:strCache>
            </c:strRef>
          </c:tx>
          <c:spPr>
            <a:solidFill>
              <a:schemeClr val="accent1"/>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'38.3'!$B$28:$B$35</c:f>
              <c:numCache>
                <c:formatCode>General</c:formatCode>
                <c:ptCount val="8"/>
                <c:pt idx="0">
                  <c:v>9</c:v>
                </c:pt>
                <c:pt idx="1">
                  <c:v>17</c:v>
                </c:pt>
                <c:pt idx="2">
                  <c:v>117</c:v>
                </c:pt>
                <c:pt idx="3">
                  <c:v>200</c:v>
                </c:pt>
                <c:pt idx="4">
                  <c:v>677</c:v>
                </c:pt>
                <c:pt idx="5">
                  <c:v>59</c:v>
                </c:pt>
                <c:pt idx="6">
                  <c:v>699</c:v>
                </c:pt>
                <c:pt idx="7">
                  <c:v>363</c:v>
                </c:pt>
              </c:numCache>
            </c:numRef>
          </c:val>
          <c:extLst xmlns:c16r2="http://schemas.microsoft.com/office/drawing/2015/06/chart">
            <c:ext xmlns:c16="http://schemas.microsoft.com/office/drawing/2014/chart" uri="{C3380CC4-5D6E-409C-BE32-E72D297353CC}">
              <c16:uniqueId val="{00000000-8CFF-48A9-842D-832AC546C3A9}"/>
            </c:ext>
          </c:extLst>
        </c:ser>
        <c:ser>
          <c:idx val="1"/>
          <c:order val="1"/>
          <c:tx>
            <c:strRef>
              <c:f>'38.3'!$C$27</c:f>
              <c:strCache>
                <c:ptCount val="1"/>
                <c:pt idx="0">
                  <c:v>الزوجة Wife</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'38.3'!$A$28:$A$35</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'38.3'!$C$28:$C$35</c:f>
              <c:numCache>
                <c:formatCode>General</c:formatCode>
                <c:ptCount val="8"/>
                <c:pt idx="0" formatCode="#,##0">
                  <c:v>5</c:v>
                </c:pt>
                <c:pt idx="1">
                  <c:v>16</c:v>
                </c:pt>
                <c:pt idx="2">
                  <c:v>56</c:v>
                </c:pt>
                <c:pt idx="3">
                  <c:v>145</c:v>
                </c:pt>
                <c:pt idx="4">
                  <c:v>868</c:v>
                </c:pt>
                <c:pt idx="5">
                  <c:v>31</c:v>
                </c:pt>
                <c:pt idx="6">
                  <c:v>579</c:v>
                </c:pt>
                <c:pt idx="7">
                  <c:v>441</c:v>
                </c:pt>
              </c:numCache>
            </c:numRef>
          </c:val>
          <c:extLst xmlns:c16r2="http://schemas.microsoft.com/office/drawing/2015/06/chart">
            <c:ext xmlns:c16="http://schemas.microsoft.com/office/drawing/2014/chart" uri="{C3380CC4-5D6E-409C-BE32-E72D297353CC}">
              <c16:uniqueId val="{00000001-8CFF-48A9-842D-832AC546C3A9}"/>
            </c:ext>
          </c:extLst>
        </c:ser>
        <c:dLbls>
          <c:showLegendKey val="0"/>
          <c:showVal val="0"/>
          <c:showCatName val="0"/>
          <c:showSerName val="0"/>
          <c:showPercent val="0"/>
          <c:showBubbleSize val="0"/>
        </c:dLbls>
        <c:gapWidth val="150"/>
        <c:axId val="160882688"/>
        <c:axId val="160884608"/>
      </c:barChart>
      <c:catAx>
        <c:axId val="16088268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الحالة التعلمية</a:t>
                </a:r>
              </a:p>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 </a:t>
                </a:r>
                <a:r>
                  <a:rPr lang="en-US" sz="1200" b="1" i="0" u="none" strike="noStrike" baseline="0">
                    <a:solidFill>
                      <a:srgbClr val="000000"/>
                    </a:solidFill>
                    <a:latin typeface="Arial"/>
                    <a:cs typeface="Arial"/>
                  </a:rPr>
                  <a:t>Educational Status</a:t>
                </a:r>
              </a:p>
            </c:rich>
          </c:tx>
          <c:layout>
            <c:manualLayout>
              <c:xMode val="edge"/>
              <c:yMode val="edge"/>
              <c:x val="0.46194815535698486"/>
              <c:y val="0.92431165787932068"/>
            </c:manualLayout>
          </c:layout>
          <c:overlay val="0"/>
          <c:spPr>
            <a:noFill/>
            <a:ln w="25400">
              <a:noFill/>
            </a:ln>
          </c:spPr>
        </c:title>
        <c:numFmt formatCode="General" sourceLinked="1"/>
        <c:majorTickMark val="out"/>
        <c:minorTickMark val="none"/>
        <c:tickLblPos val="nextTo"/>
        <c:spPr>
          <a:solidFill>
            <a:sysClr val="window" lastClr="FFFFFF"/>
          </a:solidFill>
        </c:spPr>
        <c:txPr>
          <a:bodyPr rot="0" vert="horz"/>
          <a:lstStyle/>
          <a:p>
            <a:pPr>
              <a:defRPr sz="1100" b="0" i="0" u="none" strike="noStrike" baseline="0">
                <a:solidFill>
                  <a:sysClr val="windowText" lastClr="000000"/>
                </a:solidFill>
                <a:latin typeface="Calibri"/>
                <a:ea typeface="Calibri"/>
                <a:cs typeface="Calibri"/>
              </a:defRPr>
            </a:pPr>
            <a:endParaRPr lang="en-US"/>
          </a:p>
        </c:txPr>
        <c:crossAx val="160884608"/>
        <c:crosses val="autoZero"/>
        <c:auto val="1"/>
        <c:lblAlgn val="ctr"/>
        <c:lblOffset val="100"/>
        <c:tickLblSkip val="1"/>
        <c:tickMarkSkip val="1"/>
        <c:noMultiLvlLbl val="0"/>
      </c:catAx>
      <c:valAx>
        <c:axId val="160884608"/>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Number</a:t>
                </a:r>
              </a:p>
            </c:rich>
          </c:tx>
          <c:layout>
            <c:manualLayout>
              <c:xMode val="edge"/>
              <c:yMode val="edge"/>
              <c:x val="1.8266065056474681E-2"/>
              <c:y val="0.15341793172162796"/>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333399"/>
                </a:solidFill>
                <a:latin typeface="Arial"/>
                <a:ea typeface="Arial"/>
                <a:cs typeface="Arial"/>
              </a:defRPr>
            </a:pPr>
            <a:endParaRPr lang="en-US"/>
          </a:p>
        </c:txPr>
        <c:crossAx val="160882688"/>
        <c:crosses val="autoZero"/>
        <c:crossBetween val="between"/>
      </c:valAx>
      <c:spPr>
        <a:noFill/>
        <a:ln w="25400">
          <a:noFill/>
        </a:ln>
      </c:spPr>
    </c:plotArea>
    <c:legend>
      <c:legendPos val="r"/>
      <c:layout>
        <c:manualLayout>
          <c:xMode val="edge"/>
          <c:yMode val="edge"/>
          <c:x val="0.16451738476511046"/>
          <c:y val="0.23889127215864273"/>
          <c:w val="0.13216620956088354"/>
          <c:h val="0.10154426654488929"/>
        </c:manualLayout>
      </c:layout>
      <c:overlay val="0"/>
      <c:txPr>
        <a:bodyPr/>
        <a:lstStyle/>
        <a:p>
          <a:pPr>
            <a:defRPr sz="101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مهنة الزوجة والزوج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OCCUPATION OF WIFE AND HUSBAND </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26793834594205584"/>
          <c:y val="8.4745688196012671E-3"/>
        </c:manualLayout>
      </c:layout>
      <c:overlay val="0"/>
      <c:spPr>
        <a:noFill/>
        <a:ln w="25400">
          <a:noFill/>
        </a:ln>
      </c:spPr>
    </c:title>
    <c:autoTitleDeleted val="0"/>
    <c:plotArea>
      <c:layout>
        <c:manualLayout>
          <c:layoutTarget val="inner"/>
          <c:xMode val="edge"/>
          <c:yMode val="edge"/>
          <c:x val="5.7412823397075374E-2"/>
          <c:y val="0.22500833124502653"/>
          <c:w val="0.93671967004124468"/>
          <c:h val="0.58220454277125389"/>
        </c:manualLayout>
      </c:layout>
      <c:barChart>
        <c:barDir val="col"/>
        <c:grouping val="clustered"/>
        <c:varyColors val="0"/>
        <c:ser>
          <c:idx val="0"/>
          <c:order val="0"/>
          <c:tx>
            <c:strRef>
              <c:f>'40.3'!$B$27</c:f>
              <c:strCache>
                <c:ptCount val="1"/>
                <c:pt idx="0">
                  <c:v>الزوج Husband</c:v>
                </c:pt>
              </c:strCache>
            </c:strRef>
          </c:tx>
          <c:spPr>
            <a:scene3d>
              <a:camera prst="orthographicFront"/>
              <a:lightRig rig="threePt" dir="t">
                <a:rot lat="0" lon="0" rev="1200000"/>
              </a:lightRig>
            </a:scene3d>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'40.3'!$B$28:$B$35</c:f>
              <c:numCache>
                <c:formatCode>General</c:formatCode>
                <c:ptCount val="8"/>
                <c:pt idx="0">
                  <c:v>638</c:v>
                </c:pt>
                <c:pt idx="1">
                  <c:v>66</c:v>
                </c:pt>
                <c:pt idx="2">
                  <c:v>171</c:v>
                </c:pt>
                <c:pt idx="3">
                  <c:v>172</c:v>
                </c:pt>
                <c:pt idx="4">
                  <c:v>425</c:v>
                </c:pt>
                <c:pt idx="5">
                  <c:v>194</c:v>
                </c:pt>
                <c:pt idx="6">
                  <c:v>461</c:v>
                </c:pt>
                <c:pt idx="7">
                  <c:v>14</c:v>
                </c:pt>
              </c:numCache>
            </c:numRef>
          </c:val>
          <c:extLst xmlns:c16r2="http://schemas.microsoft.com/office/drawing/2015/06/chart">
            <c:ext xmlns:c16="http://schemas.microsoft.com/office/drawing/2014/chart" uri="{C3380CC4-5D6E-409C-BE32-E72D297353CC}">
              <c16:uniqueId val="{00000000-3EE9-4930-BDCD-9C209960C6DB}"/>
            </c:ext>
          </c:extLst>
        </c:ser>
        <c:ser>
          <c:idx val="1"/>
          <c:order val="1"/>
          <c:tx>
            <c:strRef>
              <c:f>'40.3'!$C$27</c:f>
              <c:strCache>
                <c:ptCount val="1"/>
                <c:pt idx="0">
                  <c:v>الزوجة Wife</c:v>
                </c:pt>
              </c:strCache>
            </c:strRef>
          </c:tx>
          <c:spPr>
            <a:scene3d>
              <a:camera prst="orthographicFront"/>
              <a:lightRig rig="threePt" dir="t">
                <a:rot lat="0" lon="0" rev="1200000"/>
              </a:lightRig>
            </a:scene3d>
            <a:sp3d/>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'40.3'!$A$28:$A$35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'40.3'!$C$28:$C$35</c:f>
              <c:numCache>
                <c:formatCode>General</c:formatCode>
                <c:ptCount val="8"/>
                <c:pt idx="0">
                  <c:v>301</c:v>
                </c:pt>
                <c:pt idx="1">
                  <c:v>9</c:v>
                </c:pt>
                <c:pt idx="2">
                  <c:v>52</c:v>
                </c:pt>
                <c:pt idx="3">
                  <c:v>120</c:v>
                </c:pt>
                <c:pt idx="4">
                  <c:v>223</c:v>
                </c:pt>
                <c:pt idx="5">
                  <c:v>11</c:v>
                </c:pt>
                <c:pt idx="6">
                  <c:v>1424</c:v>
                </c:pt>
                <c:pt idx="7">
                  <c:v>1</c:v>
                </c:pt>
              </c:numCache>
            </c:numRef>
          </c:val>
          <c:extLst xmlns:c16r2="http://schemas.microsoft.com/office/drawing/2015/06/chart">
            <c:ext xmlns:c16="http://schemas.microsoft.com/office/drawing/2014/chart" uri="{C3380CC4-5D6E-409C-BE32-E72D297353CC}">
              <c16:uniqueId val="{00000001-3EE9-4930-BDCD-9C209960C6DB}"/>
            </c:ext>
          </c:extLst>
        </c:ser>
        <c:dLbls>
          <c:showLegendKey val="0"/>
          <c:showVal val="1"/>
          <c:showCatName val="0"/>
          <c:showSerName val="0"/>
          <c:showPercent val="0"/>
          <c:showBubbleSize val="0"/>
        </c:dLbls>
        <c:gapWidth val="150"/>
        <c:axId val="161811456"/>
        <c:axId val="161817728"/>
      </c:barChart>
      <c:catAx>
        <c:axId val="161811456"/>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Arial"/>
                    <a:cs typeface="Arial"/>
                  </a:rPr>
                  <a:t>المهنة</a:t>
                </a:r>
              </a:p>
              <a:p>
                <a:pPr>
                  <a:defRPr sz="1100" b="0" i="0" u="none" strike="noStrike" baseline="0">
                    <a:solidFill>
                      <a:sysClr val="windowText" lastClr="000000"/>
                    </a:solidFill>
                    <a:latin typeface="Calibri"/>
                    <a:ea typeface="Calibri"/>
                    <a:cs typeface="Calibri"/>
                  </a:defRPr>
                </a:pPr>
                <a:r>
                  <a:rPr lang="en-US" sz="1200" b="1" i="0" u="none" strike="noStrike" baseline="0">
                    <a:solidFill>
                      <a:sysClr val="windowText" lastClr="000000"/>
                    </a:solidFill>
                    <a:latin typeface="Calibri"/>
                  </a:rPr>
                  <a:t>Occupatuon</a:t>
                </a:r>
              </a:p>
            </c:rich>
          </c:tx>
          <c:layout>
            <c:manualLayout>
              <c:xMode val="edge"/>
              <c:yMode val="edge"/>
              <c:x val="0.45737022872140981"/>
              <c:y val="0.92743935554768453"/>
            </c:manualLayout>
          </c:layout>
          <c:overlay val="0"/>
          <c:spPr>
            <a:noFill/>
            <a:ln w="25400">
              <a:noFill/>
            </a:ln>
          </c:spPr>
        </c:title>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61817728"/>
        <c:crosses val="autoZero"/>
        <c:auto val="1"/>
        <c:lblAlgn val="ctr"/>
        <c:lblOffset val="100"/>
        <c:tickLblSkip val="1"/>
        <c:tickMarkSkip val="1"/>
        <c:noMultiLvlLbl val="0"/>
      </c:catAx>
      <c:valAx>
        <c:axId val="161817728"/>
        <c:scaling>
          <c:orientation val="minMax"/>
        </c:scaling>
        <c:delete val="0"/>
        <c:axPos val="l"/>
        <c:majorGridlines>
          <c:spPr>
            <a:ln w="3175">
              <a:solidFill>
                <a:schemeClr val="bg2">
                  <a:lumMod val="90000"/>
                </a:schemeClr>
              </a:solidFill>
            </a:ln>
          </c:spPr>
        </c:majorGridlines>
        <c:title>
          <c:tx>
            <c:rich>
              <a:bodyPr rot="0" vert="horz"/>
              <a:lstStyle/>
              <a:p>
                <a:pPr>
                  <a:defRPr sz="1000" b="0" i="0" u="none" strike="noStrike" baseline="0">
                    <a:solidFill>
                      <a:srgbClr val="000000"/>
                    </a:solidFill>
                    <a:latin typeface="Calibri"/>
                    <a:ea typeface="Calibri"/>
                    <a:cs typeface="Calibri"/>
                  </a:defRPr>
                </a:pPr>
                <a:r>
                  <a:rPr lang="ar-QA" sz="1000" b="1" i="0" u="none" strike="noStrike" baseline="0">
                    <a:solidFill>
                      <a:srgbClr val="003366"/>
                    </a:solidFill>
                    <a:latin typeface="Arial"/>
                    <a:cs typeface="Arial"/>
                  </a:rPr>
                  <a:t>العدد</a:t>
                </a:r>
              </a:p>
              <a:p>
                <a:pPr>
                  <a:defRPr sz="1000" b="0" i="0" u="none" strike="noStrike" baseline="0">
                    <a:solidFill>
                      <a:srgbClr val="000000"/>
                    </a:solidFill>
                    <a:latin typeface="Calibri"/>
                    <a:ea typeface="Calibri"/>
                    <a:cs typeface="Calibri"/>
                  </a:defRPr>
                </a:pPr>
                <a:r>
                  <a:rPr lang="en-US" sz="1000" b="1" i="0" u="none" strike="noStrike" baseline="0">
                    <a:solidFill>
                      <a:srgbClr val="003366"/>
                    </a:solidFill>
                    <a:latin typeface="Arial"/>
                    <a:cs typeface="Arial"/>
                  </a:rPr>
                  <a:t>Number</a:t>
                </a:r>
              </a:p>
            </c:rich>
          </c:tx>
          <c:layout>
            <c:manualLayout>
              <c:xMode val="edge"/>
              <c:yMode val="edge"/>
              <c:x val="2.8182800679326849E-2"/>
              <c:y val="0.14078617057289949"/>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1811456"/>
        <c:crosses val="autoZero"/>
        <c:crossBetween val="between"/>
      </c:valAx>
      <c:spPr>
        <a:noFill/>
        <a:ln w="25400">
          <a:noFill/>
        </a:ln>
      </c:spPr>
    </c:plotArea>
    <c:legend>
      <c:legendPos val="r"/>
      <c:layout>
        <c:manualLayout>
          <c:xMode val="edge"/>
          <c:yMode val="edge"/>
          <c:x val="0.17747967165868817"/>
          <c:y val="0.17131888664670691"/>
          <c:w val="0.40151677731460034"/>
          <c:h val="4.9155137014908305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Relation of first class </a:t>
            </a:r>
            <a:r>
              <a:rPr lang="ar-QA" sz="1200" b="1" i="0" u="none" strike="noStrike" baseline="0">
                <a:effectLst/>
              </a:rPr>
              <a:t>القرابة من الدرجة الأولى</a:t>
            </a:r>
            <a:r>
              <a:rPr lang="ar-QA" sz="1000" b="1" i="0" u="none" strike="noStrike" baseline="0">
                <a:effectLst/>
              </a:rPr>
              <a:t>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16685479309385068"/>
          <c:y val="8.6391255887534601E-3"/>
        </c:manualLayout>
      </c:layout>
      <c:overlay val="0"/>
    </c:title>
    <c:autoTitleDeleted val="0"/>
    <c:plotArea>
      <c:layout>
        <c:manualLayout>
          <c:layoutTarget val="inner"/>
          <c:xMode val="edge"/>
          <c:yMode val="edge"/>
          <c:x val="5.6390642161748022E-2"/>
          <c:y val="0.23358825009887463"/>
          <c:w val="0.91174123188991341"/>
          <c:h val="0.65421493546183429"/>
        </c:manualLayout>
      </c:layout>
      <c:barChart>
        <c:barDir val="col"/>
        <c:grouping val="clustered"/>
        <c:varyColors val="0"/>
        <c:ser>
          <c:idx val="1"/>
          <c:order val="0"/>
          <c:tx>
            <c:strRef>
              <c:f>'41.1'!$K$28</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'41.1'!$K$29:$K$38</c:f>
              <c:numCache>
                <c:formatCode>General</c:formatCode>
                <c:ptCount val="10"/>
                <c:pt idx="0">
                  <c:v>0</c:v>
                </c:pt>
                <c:pt idx="1">
                  <c:v>20</c:v>
                </c:pt>
                <c:pt idx="2">
                  <c:v>40</c:v>
                </c:pt>
                <c:pt idx="3">
                  <c:v>35</c:v>
                </c:pt>
                <c:pt idx="4">
                  <c:v>14</c:v>
                </c:pt>
                <c:pt idx="5">
                  <c:v>4</c:v>
                </c:pt>
                <c:pt idx="6">
                  <c:v>4</c:v>
                </c:pt>
                <c:pt idx="7">
                  <c:v>3</c:v>
                </c:pt>
                <c:pt idx="8">
                  <c:v>4</c:v>
                </c:pt>
                <c:pt idx="9">
                  <c:v>8</c:v>
                </c:pt>
              </c:numCache>
            </c:numRef>
          </c:val>
          <c:extLst xmlns:c16r2="http://schemas.microsoft.com/office/drawing/2015/06/chart">
            <c:ext xmlns:c16="http://schemas.microsoft.com/office/drawing/2014/chart" uri="{C3380CC4-5D6E-409C-BE32-E72D297353CC}">
              <c16:uniqueId val="{00000000-7739-4863-90D5-DD61D3AFE907}"/>
            </c:ext>
          </c:extLst>
        </c:ser>
        <c:ser>
          <c:idx val="0"/>
          <c:order val="1"/>
          <c:tx>
            <c:strRef>
              <c:f>'41.1'!$J$28</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'41.1'!$I$29:$I$38</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'41.1'!$J$29:$J$38</c:f>
              <c:numCache>
                <c:formatCode>General</c:formatCode>
                <c:ptCount val="10"/>
                <c:pt idx="0">
                  <c:v>3</c:v>
                </c:pt>
                <c:pt idx="1">
                  <c:v>42</c:v>
                </c:pt>
                <c:pt idx="2">
                  <c:v>42</c:v>
                </c:pt>
                <c:pt idx="3">
                  <c:v>11</c:v>
                </c:pt>
                <c:pt idx="4">
                  <c:v>13</c:v>
                </c:pt>
                <c:pt idx="5">
                  <c:v>4</c:v>
                </c:pt>
                <c:pt idx="6">
                  <c:v>5</c:v>
                </c:pt>
                <c:pt idx="7">
                  <c:v>2</c:v>
                </c:pt>
                <c:pt idx="8">
                  <c:v>2</c:v>
                </c:pt>
                <c:pt idx="9">
                  <c:v>5</c:v>
                </c:pt>
              </c:numCache>
            </c:numRef>
          </c:val>
          <c:extLst xmlns:c16r2="http://schemas.microsoft.com/office/drawing/2015/06/chart">
            <c:ext xmlns:c16="http://schemas.microsoft.com/office/drawing/2014/chart" uri="{C3380CC4-5D6E-409C-BE32-E72D297353CC}">
              <c16:uniqueId val="{00000001-7739-4863-90D5-DD61D3AFE907}"/>
            </c:ext>
          </c:extLst>
        </c:ser>
        <c:dLbls>
          <c:showLegendKey val="0"/>
          <c:showVal val="0"/>
          <c:showCatName val="0"/>
          <c:showSerName val="0"/>
          <c:showPercent val="0"/>
          <c:showBubbleSize val="0"/>
        </c:dLbls>
        <c:gapWidth val="150"/>
        <c:axId val="161212672"/>
        <c:axId val="161288576"/>
      </c:barChart>
      <c:catAx>
        <c:axId val="161212672"/>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الفئات العمرية </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Age groups</a:t>
                </a:r>
                <a:endParaRPr lang="ar-QA" sz="1200" b="1" i="0" u="none" strike="noStrike" baseline="0">
                  <a:solidFill>
                    <a:srgbClr val="000000"/>
                  </a:solidFill>
                  <a:latin typeface="Calibri"/>
                </a:endParaRPr>
              </a:p>
            </c:rich>
          </c:tx>
          <c:layout>
            <c:manualLayout>
              <c:xMode val="edge"/>
              <c:yMode val="edge"/>
              <c:x val="0.47511817009190843"/>
              <c:y val="0.92904109589041095"/>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1288576"/>
        <c:crosses val="autoZero"/>
        <c:auto val="1"/>
        <c:lblAlgn val="ctr"/>
        <c:lblOffset val="100"/>
        <c:noMultiLvlLbl val="0"/>
      </c:catAx>
      <c:valAx>
        <c:axId val="161288576"/>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1.6729545066843838E-2"/>
              <c:y val="0.14336982705928883"/>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1212672"/>
        <c:crosses val="autoZero"/>
        <c:crossBetween val="between"/>
      </c:valAx>
    </c:plotArea>
    <c:legend>
      <c:legendPos val="r"/>
      <c:layout>
        <c:manualLayout>
          <c:xMode val="edge"/>
          <c:yMode val="edge"/>
          <c:x val="0.35294528890844168"/>
          <c:y val="0.24827400855714954"/>
          <c:w val="0.50169050419438765"/>
          <c:h val="6.1787653255672023E-2"/>
        </c:manualLayout>
      </c:layout>
      <c:overlay val="0"/>
      <c:spPr>
        <a:noFill/>
        <a:ln>
          <a:noFill/>
        </a:ln>
      </c:spPr>
      <c:txPr>
        <a:bodyPr/>
        <a:lstStyle/>
        <a:p>
          <a:pPr>
            <a:defRPr sz="1100" b="1" i="0" u="none" strike="noStrike" baseline="0">
              <a:solidFill>
                <a:sysClr val="windowText" lastClr="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Relation of second class </a:t>
            </a:r>
            <a:r>
              <a:rPr lang="ar-QA" sz="1200" b="1" i="0" u="none" strike="noStrike" baseline="0">
                <a:effectLst/>
              </a:rPr>
              <a:t>القرابة من الدرجة الثانية </a:t>
            </a:r>
            <a:r>
              <a:rPr lang="en-US" sz="1200" b="1" i="0" u="none" strike="noStrike" baseline="0">
                <a:effectLst/>
              </a:rPr>
              <a:t>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13517656883798615"/>
          <c:y val="1.1014754912392706E-2"/>
        </c:manualLayout>
      </c:layout>
      <c:overlay val="0"/>
    </c:title>
    <c:autoTitleDeleted val="0"/>
    <c:plotArea>
      <c:layout>
        <c:manualLayout>
          <c:layoutTarget val="inner"/>
          <c:xMode val="edge"/>
          <c:yMode val="edge"/>
          <c:x val="6.2487473156764485E-2"/>
          <c:y val="0.23931643062383701"/>
          <c:w val="0.91170496301598669"/>
          <c:h val="0.61616584728939339"/>
        </c:manualLayout>
      </c:layout>
      <c:barChart>
        <c:barDir val="col"/>
        <c:grouping val="clustered"/>
        <c:varyColors val="0"/>
        <c:ser>
          <c:idx val="1"/>
          <c:order val="0"/>
          <c:tx>
            <c:strRef>
              <c:f>'41.2'!$C$26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'41.2'!$C$27:$C$36</c:f>
              <c:numCache>
                <c:formatCode>General</c:formatCode>
                <c:ptCount val="10"/>
                <c:pt idx="0">
                  <c:v>0</c:v>
                </c:pt>
                <c:pt idx="1">
                  <c:v>26</c:v>
                </c:pt>
                <c:pt idx="2">
                  <c:v>42</c:v>
                </c:pt>
                <c:pt idx="3">
                  <c:v>35</c:v>
                </c:pt>
                <c:pt idx="4">
                  <c:v>17</c:v>
                </c:pt>
                <c:pt idx="5">
                  <c:v>12</c:v>
                </c:pt>
                <c:pt idx="6">
                  <c:v>9</c:v>
                </c:pt>
                <c:pt idx="7">
                  <c:v>7</c:v>
                </c:pt>
                <c:pt idx="8">
                  <c:v>10</c:v>
                </c:pt>
                <c:pt idx="9">
                  <c:v>7</c:v>
                </c:pt>
              </c:numCache>
            </c:numRef>
          </c:val>
          <c:extLst xmlns:c16r2="http://schemas.microsoft.com/office/drawing/2015/06/chart">
            <c:ext xmlns:c16="http://schemas.microsoft.com/office/drawing/2014/chart" uri="{C3380CC4-5D6E-409C-BE32-E72D297353CC}">
              <c16:uniqueId val="{00000000-569C-414F-BB15-410322BF6BC4}"/>
            </c:ext>
          </c:extLst>
        </c:ser>
        <c:ser>
          <c:idx val="0"/>
          <c:order val="1"/>
          <c:tx>
            <c:strRef>
              <c:f>'41.2'!$B$26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'41.2'!$A$27:$A$36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'41.2'!$B$27:$B$36</c:f>
              <c:numCache>
                <c:formatCode>General</c:formatCode>
                <c:ptCount val="10"/>
                <c:pt idx="0">
                  <c:v>7</c:v>
                </c:pt>
                <c:pt idx="1">
                  <c:v>49</c:v>
                </c:pt>
                <c:pt idx="2">
                  <c:v>43</c:v>
                </c:pt>
                <c:pt idx="3">
                  <c:v>19</c:v>
                </c:pt>
                <c:pt idx="4">
                  <c:v>12</c:v>
                </c:pt>
                <c:pt idx="5">
                  <c:v>13</c:v>
                </c:pt>
                <c:pt idx="6">
                  <c:v>6</c:v>
                </c:pt>
                <c:pt idx="7">
                  <c:v>6</c:v>
                </c:pt>
                <c:pt idx="8">
                  <c:v>5</c:v>
                </c:pt>
                <c:pt idx="9">
                  <c:v>3</c:v>
                </c:pt>
              </c:numCache>
            </c:numRef>
          </c:val>
          <c:extLst xmlns:c16r2="http://schemas.microsoft.com/office/drawing/2015/06/chart">
            <c:ext xmlns:c16="http://schemas.microsoft.com/office/drawing/2014/chart" uri="{C3380CC4-5D6E-409C-BE32-E72D297353CC}">
              <c16:uniqueId val="{00000001-569C-414F-BB15-410322BF6BC4}"/>
            </c:ext>
          </c:extLst>
        </c:ser>
        <c:dLbls>
          <c:showLegendKey val="0"/>
          <c:showVal val="0"/>
          <c:showCatName val="0"/>
          <c:showSerName val="0"/>
          <c:showPercent val="0"/>
          <c:showBubbleSize val="0"/>
        </c:dLbls>
        <c:gapWidth val="150"/>
        <c:axId val="162178560"/>
        <c:axId val="162180480"/>
      </c:barChart>
      <c:catAx>
        <c:axId val="162178560"/>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الفئات العمرية </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Age groups</a:t>
                </a:r>
                <a:endParaRPr lang="ar-QA" sz="1200" b="1" i="0" u="none" strike="noStrike" baseline="0">
                  <a:solidFill>
                    <a:srgbClr val="000000"/>
                  </a:solidFill>
                  <a:latin typeface="Calibri"/>
                </a:endParaRPr>
              </a:p>
            </c:rich>
          </c:tx>
          <c:layout>
            <c:manualLayout>
              <c:xMode val="edge"/>
              <c:yMode val="edge"/>
              <c:x val="0.47350453352421851"/>
              <c:y val="0.9186012408347433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2180480"/>
        <c:crosses val="autoZero"/>
        <c:auto val="1"/>
        <c:lblAlgn val="ctr"/>
        <c:lblOffset val="100"/>
        <c:noMultiLvlLbl val="0"/>
      </c:catAx>
      <c:valAx>
        <c:axId val="162180480"/>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 </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1.4533404915294678E-2"/>
              <c:y val="0.15797043136105446"/>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2178560"/>
        <c:crosses val="autoZero"/>
        <c:crossBetween val="between"/>
      </c:valAx>
    </c:plotArea>
    <c:legend>
      <c:legendPos val="r"/>
      <c:layout>
        <c:manualLayout>
          <c:xMode val="edge"/>
          <c:yMode val="edge"/>
          <c:x val="0.4013196134574088"/>
          <c:y val="0.24950353287057392"/>
          <c:w val="0.50149534717251254"/>
          <c:h val="6.7709441725189792E-2"/>
        </c:manualLayout>
      </c:layout>
      <c:overlay val="0"/>
      <c:spPr>
        <a:noFill/>
        <a:ln>
          <a:no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للقطريين حسب صلة القرابة وفئة عمر الزوج والزوجة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OF QATARI  ACCORDING TO RELATION AND AGE GROUP OF WIFE AND HUSBAND</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No Relation  </a:t>
            </a:r>
            <a:r>
              <a:rPr lang="ar-QA" sz="1200" b="1" i="0" u="none" strike="noStrike" baseline="0">
                <a:effectLst/>
              </a:rPr>
              <a:t>لا توجد صلة قرابة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15348200522553729"/>
          <c:y val="1.7771609057342409E-2"/>
        </c:manualLayout>
      </c:layout>
      <c:overlay val="0"/>
    </c:title>
    <c:autoTitleDeleted val="0"/>
    <c:plotArea>
      <c:layout>
        <c:manualLayout>
          <c:layoutTarget val="inner"/>
          <c:xMode val="edge"/>
          <c:yMode val="edge"/>
          <c:x val="6.5521214610078496E-2"/>
          <c:y val="0.24413168967167009"/>
          <c:w val="0.90261062605269582"/>
          <c:h val="0.62021364024556558"/>
        </c:manualLayout>
      </c:layout>
      <c:barChart>
        <c:barDir val="col"/>
        <c:grouping val="clustered"/>
        <c:varyColors val="0"/>
        <c:ser>
          <c:idx val="1"/>
          <c:order val="0"/>
          <c:tx>
            <c:strRef>
              <c:f>'41.3'!$C$26</c:f>
              <c:strCache>
                <c:ptCount val="1"/>
                <c:pt idx="0">
                  <c:v>إشهادات الطلاق للزوج
 Husband's Divorces</c:v>
                </c:pt>
              </c:strCache>
            </c:strRef>
          </c:tx>
          <c:spPr>
            <a:solidFill>
              <a:schemeClr val="tx2">
                <a:lumMod val="60000"/>
                <a:lumOff val="40000"/>
              </a:schemeClr>
            </a:solidFill>
            <a:scene3d>
              <a:camera prst="orthographicFront"/>
              <a:lightRig rig="threePt" dir="t"/>
            </a:scene3d>
            <a:sp3d prstMaterial="flat"/>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'41.3'!$C$27:$C$36</c:f>
              <c:numCache>
                <c:formatCode>General</c:formatCode>
                <c:ptCount val="10"/>
                <c:pt idx="0">
                  <c:v>0</c:v>
                </c:pt>
                <c:pt idx="1">
                  <c:v>54</c:v>
                </c:pt>
                <c:pt idx="2">
                  <c:v>232</c:v>
                </c:pt>
                <c:pt idx="3">
                  <c:v>201</c:v>
                </c:pt>
                <c:pt idx="4">
                  <c:v>156</c:v>
                </c:pt>
                <c:pt idx="5">
                  <c:v>121</c:v>
                </c:pt>
                <c:pt idx="6">
                  <c:v>82</c:v>
                </c:pt>
                <c:pt idx="7">
                  <c:v>72</c:v>
                </c:pt>
                <c:pt idx="8">
                  <c:v>51</c:v>
                </c:pt>
                <c:pt idx="9">
                  <c:v>58</c:v>
                </c:pt>
              </c:numCache>
            </c:numRef>
          </c:val>
          <c:extLst xmlns:c16r2="http://schemas.microsoft.com/office/drawing/2015/06/chart">
            <c:ext xmlns:c16="http://schemas.microsoft.com/office/drawing/2014/chart" uri="{C3380CC4-5D6E-409C-BE32-E72D297353CC}">
              <c16:uniqueId val="{00000000-7116-45ED-B586-87590E46F570}"/>
            </c:ext>
          </c:extLst>
        </c:ser>
        <c:ser>
          <c:idx val="0"/>
          <c:order val="1"/>
          <c:tx>
            <c:strRef>
              <c:f>'41.3'!$B$26</c:f>
              <c:strCache>
                <c:ptCount val="1"/>
                <c:pt idx="0">
                  <c:v>إشهادات الطلاق للزوجة
 Wife's Divorces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'41.3'!$A$27:$A$36</c:f>
              <c:strCache>
                <c:ptCount val="10"/>
                <c:pt idx="0">
                  <c:v>-20</c:v>
                </c:pt>
                <c:pt idx="1">
                  <c:v>20 - 24</c:v>
                </c:pt>
                <c:pt idx="2">
                  <c:v>25 - 29</c:v>
                </c:pt>
                <c:pt idx="3">
                  <c:v>30 - 34</c:v>
                </c:pt>
                <c:pt idx="4">
                  <c:v>35 - 39</c:v>
                </c:pt>
                <c:pt idx="5">
                  <c:v>40 - 44</c:v>
                </c:pt>
                <c:pt idx="6">
                  <c:v>45 - 49</c:v>
                </c:pt>
                <c:pt idx="7">
                  <c:v>50 - 54</c:v>
                </c:pt>
                <c:pt idx="8">
                  <c:v>55 - 59</c:v>
                </c:pt>
                <c:pt idx="9">
                  <c:v>60 +</c:v>
                </c:pt>
              </c:strCache>
            </c:strRef>
          </c:cat>
          <c:val>
            <c:numRef>
              <c:f>'41.3'!$B$27:$B$36</c:f>
              <c:numCache>
                <c:formatCode>General</c:formatCode>
                <c:ptCount val="10"/>
                <c:pt idx="0">
                  <c:v>23</c:v>
                </c:pt>
                <c:pt idx="1">
                  <c:v>180</c:v>
                </c:pt>
                <c:pt idx="2">
                  <c:v>229</c:v>
                </c:pt>
                <c:pt idx="3">
                  <c:v>178</c:v>
                </c:pt>
                <c:pt idx="4">
                  <c:v>159</c:v>
                </c:pt>
                <c:pt idx="5">
                  <c:v>90</c:v>
                </c:pt>
                <c:pt idx="6">
                  <c:v>72</c:v>
                </c:pt>
                <c:pt idx="7">
                  <c:v>51</c:v>
                </c:pt>
                <c:pt idx="8">
                  <c:v>21</c:v>
                </c:pt>
                <c:pt idx="9">
                  <c:v>11</c:v>
                </c:pt>
              </c:numCache>
            </c:numRef>
          </c:val>
          <c:extLst xmlns:c16r2="http://schemas.microsoft.com/office/drawing/2015/06/chart">
            <c:ext xmlns:c16="http://schemas.microsoft.com/office/drawing/2014/chart" uri="{C3380CC4-5D6E-409C-BE32-E72D297353CC}">
              <c16:uniqueId val="{00000001-7116-45ED-B586-87590E46F570}"/>
            </c:ext>
          </c:extLst>
        </c:ser>
        <c:dLbls>
          <c:showLegendKey val="0"/>
          <c:showVal val="0"/>
          <c:showCatName val="0"/>
          <c:showSerName val="0"/>
          <c:showPercent val="0"/>
          <c:showBubbleSize val="0"/>
        </c:dLbls>
        <c:gapWidth val="150"/>
        <c:axId val="161977088"/>
        <c:axId val="161979008"/>
      </c:barChart>
      <c:catAx>
        <c:axId val="16197708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الفئات العمرية </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Age groups</a:t>
                </a:r>
                <a:endParaRPr lang="ar-QA" sz="1100" b="1" i="0" u="none" strike="noStrike" baseline="0">
                  <a:solidFill>
                    <a:srgbClr val="000000"/>
                  </a:solidFill>
                  <a:latin typeface="Calibri"/>
                </a:endParaRPr>
              </a:p>
            </c:rich>
          </c:tx>
          <c:layout>
            <c:manualLayout>
              <c:xMode val="edge"/>
              <c:yMode val="edge"/>
              <c:x val="0.4810013034085025"/>
              <c:y val="0.91577512776831349"/>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1979008"/>
        <c:crosses val="autoZero"/>
        <c:auto val="1"/>
        <c:lblAlgn val="ctr"/>
        <c:lblOffset val="100"/>
        <c:noMultiLvlLbl val="0"/>
      </c:catAx>
      <c:valAx>
        <c:axId val="161979008"/>
        <c:scaling>
          <c:orientation val="minMax"/>
        </c:scaling>
        <c:delete val="0"/>
        <c:axPos val="l"/>
        <c:majorGridlines>
          <c:spPr>
            <a:ln w="3175">
              <a:solidFill>
                <a:schemeClr val="bg2"/>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العدد</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Number</a:t>
                </a:r>
              </a:p>
            </c:rich>
          </c:tx>
          <c:layout>
            <c:manualLayout>
              <c:xMode val="edge"/>
              <c:yMode val="edge"/>
              <c:x val="2.5071151820308172E-2"/>
              <c:y val="0.1457954723291616"/>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1977088"/>
        <c:crosses val="autoZero"/>
        <c:crossBetween val="between"/>
      </c:valAx>
    </c:plotArea>
    <c:legend>
      <c:legendPos val="r"/>
      <c:layout>
        <c:manualLayout>
          <c:xMode val="edge"/>
          <c:yMode val="edge"/>
          <c:x val="0.45807774028246967"/>
          <c:y val="0.23390204190577873"/>
          <c:w val="0.45651841138906252"/>
          <c:h val="6.3419191245162154E-2"/>
        </c:manualLayout>
      </c:layout>
      <c:overlay val="0"/>
      <c:spPr>
        <a:noFill/>
        <a:ln>
          <a:noFill/>
        </a:ln>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a:latin typeface="Arial" pitchFamily="34" charset="0"/>
                <a:cs typeface="Arial" pitchFamily="34" charset="0"/>
              </a:rPr>
              <a:t>NUMBER OF CHILDREN OF DIVORCEE BY AGE GROUP OF HUSBAND AND WIFE</a:t>
            </a:r>
            <a:endParaRPr lang="en-US" sz="1200">
              <a:latin typeface="Arial" pitchFamily="34" charset="0"/>
              <a:cs typeface="Arial"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 </a:t>
            </a:r>
            <a:r>
              <a:rPr lang="en-US" sz="1100" b="1" i="0" u="none" strike="noStrike" baseline="0">
                <a:effectLst/>
                <a:latin typeface="Arial" panose="020B0604020202020204" pitchFamily="34" charset="0"/>
                <a:cs typeface="Arial" panose="020B0604020202020204" pitchFamily="34" charset="0"/>
              </a:rPr>
              <a:t>Qataris </a:t>
            </a:r>
            <a:r>
              <a:rPr lang="en-US" sz="1000" b="1" i="0" u="none" strike="noStrike" baseline="0">
                <a:effectLst/>
              </a:rPr>
              <a:t> </a:t>
            </a:r>
            <a:r>
              <a:rPr lang="ar-SA" sz="1200" b="1" i="0" u="none" strike="noStrike" baseline="0">
                <a:solidFill>
                  <a:srgbClr val="000000"/>
                </a:solidFill>
                <a:latin typeface="Arial"/>
                <a:cs typeface="Arial"/>
              </a:rPr>
              <a:t>قطريون  </a:t>
            </a:r>
            <a:endParaRPr lang="en-US" sz="1200" b="1" i="0" u="none" strike="noStrike" baseline="0">
              <a:solidFill>
                <a:srgbClr val="000000"/>
              </a:solidFill>
              <a:latin typeface="Arial"/>
              <a:cs typeface="Arial"/>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16704479940007499"/>
          <c:y val="8.7625026601404546E-3"/>
        </c:manualLayout>
      </c:layout>
      <c:overlay val="0"/>
    </c:title>
    <c:autoTitleDeleted val="0"/>
    <c:plotArea>
      <c:layout>
        <c:manualLayout>
          <c:layoutTarget val="inner"/>
          <c:xMode val="edge"/>
          <c:yMode val="edge"/>
          <c:x val="8.3005144356955385E-2"/>
          <c:y val="0.25250088671348514"/>
          <c:w val="0.89585193850768652"/>
          <c:h val="0.62452135206072212"/>
        </c:manualLayout>
      </c:layout>
      <c:barChart>
        <c:barDir val="col"/>
        <c:grouping val="clustered"/>
        <c:varyColors val="0"/>
        <c:ser>
          <c:idx val="0"/>
          <c:order val="0"/>
          <c:tx>
            <c:strRef>
              <c:f>'42-1'!$B$31</c:f>
              <c:strCache>
                <c:ptCount val="1"/>
                <c:pt idx="0">
                  <c:v>عدد الأبناء للمطلقة حسب فئة عمر الزوجة
Number of children of divorcee by age group of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'42-1'!$B$32:$B$42</c:f>
              <c:numCache>
                <c:formatCode>General</c:formatCode>
                <c:ptCount val="11"/>
                <c:pt idx="0" formatCode="0">
                  <c:v>0</c:v>
                </c:pt>
                <c:pt idx="1">
                  <c:v>3</c:v>
                </c:pt>
                <c:pt idx="2">
                  <c:v>15</c:v>
                </c:pt>
                <c:pt idx="3">
                  <c:v>14</c:v>
                </c:pt>
                <c:pt idx="4">
                  <c:v>30</c:v>
                </c:pt>
                <c:pt idx="5">
                  <c:v>8</c:v>
                </c:pt>
                <c:pt idx="6">
                  <c:v>20</c:v>
                </c:pt>
                <c:pt idx="7">
                  <c:v>9</c:v>
                </c:pt>
                <c:pt idx="8">
                  <c:v>9</c:v>
                </c:pt>
                <c:pt idx="9" formatCode="0">
                  <c:v>16</c:v>
                </c:pt>
                <c:pt idx="10" formatCode="0">
                  <c:v>0</c:v>
                </c:pt>
              </c:numCache>
            </c:numRef>
          </c:val>
          <c:extLst xmlns:c16r2="http://schemas.microsoft.com/office/drawing/2015/06/chart">
            <c:ext xmlns:c16="http://schemas.microsoft.com/office/drawing/2014/chart" uri="{C3380CC4-5D6E-409C-BE32-E72D297353CC}">
              <c16:uniqueId val="{00000000-C082-4FDF-B7DB-B40B2A7EB731}"/>
            </c:ext>
          </c:extLst>
        </c:ser>
        <c:ser>
          <c:idx val="1"/>
          <c:order val="1"/>
          <c:tx>
            <c:strRef>
              <c:f>'42-1'!$C$31</c:f>
              <c:strCache>
                <c:ptCount val="1"/>
                <c:pt idx="0">
                  <c:v>عدد الأبناء للمطلقة حسب فئة عمر الزوج
Number of children of divorcee by age group of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'42-1'!$A$32:$A$42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'42-1'!$C$32:$C$42</c:f>
              <c:numCache>
                <c:formatCode>General</c:formatCode>
                <c:ptCount val="11"/>
                <c:pt idx="0">
                  <c:v>0</c:v>
                </c:pt>
                <c:pt idx="1">
                  <c:v>0</c:v>
                </c:pt>
                <c:pt idx="2">
                  <c:v>10</c:v>
                </c:pt>
                <c:pt idx="3">
                  <c:v>16</c:v>
                </c:pt>
                <c:pt idx="4">
                  <c:v>13</c:v>
                </c:pt>
                <c:pt idx="5">
                  <c:v>1</c:v>
                </c:pt>
                <c:pt idx="6">
                  <c:v>42</c:v>
                </c:pt>
                <c:pt idx="7">
                  <c:v>21</c:v>
                </c:pt>
                <c:pt idx="8">
                  <c:v>6</c:v>
                </c:pt>
                <c:pt idx="9">
                  <c:v>15</c:v>
                </c:pt>
                <c:pt idx="10">
                  <c:v>0</c:v>
                </c:pt>
              </c:numCache>
            </c:numRef>
          </c:val>
          <c:extLst xmlns:c16r2="http://schemas.microsoft.com/office/drawing/2015/06/chart">
            <c:ext xmlns:c16="http://schemas.microsoft.com/office/drawing/2014/chart" uri="{C3380CC4-5D6E-409C-BE32-E72D297353CC}">
              <c16:uniqueId val="{00000001-C082-4FDF-B7DB-B40B2A7EB731}"/>
            </c:ext>
          </c:extLst>
        </c:ser>
        <c:dLbls>
          <c:showLegendKey val="0"/>
          <c:showVal val="0"/>
          <c:showCatName val="0"/>
          <c:showSerName val="0"/>
          <c:showPercent val="0"/>
          <c:showBubbleSize val="0"/>
        </c:dLbls>
        <c:gapWidth val="150"/>
        <c:axId val="162365824"/>
        <c:axId val="162367744"/>
      </c:barChart>
      <c:catAx>
        <c:axId val="162365824"/>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Calibri"/>
                  </a:rPr>
                  <a:t>الفئات العمرية </a:t>
                </a:r>
                <a:endParaRPr lang="en-US" sz="1200" b="1" i="0" u="none" strike="noStrike" baseline="0">
                  <a:solidFill>
                    <a:sysClr val="windowText" lastClr="000000"/>
                  </a:solidFill>
                  <a:latin typeface="Calibri"/>
                </a:endParaRPr>
              </a:p>
              <a:p>
                <a:pPr>
                  <a:defRPr sz="1100" b="0" i="0" u="none" strike="noStrike" baseline="0">
                    <a:solidFill>
                      <a:sysClr val="windowText" lastClr="000000"/>
                    </a:solidFill>
                    <a:latin typeface="Calibri"/>
                    <a:ea typeface="Calibri"/>
                    <a:cs typeface="Calibri"/>
                  </a:defRPr>
                </a:pPr>
                <a:r>
                  <a:rPr lang="en-US" sz="1100" b="1" i="0" u="none" strike="noStrike" baseline="0">
                    <a:effectLst/>
                  </a:rPr>
                  <a:t>Age groups</a:t>
                </a:r>
                <a:endParaRPr lang="ar-QA" sz="1200" b="1" i="0" u="none" strike="noStrike" baseline="0">
                  <a:solidFill>
                    <a:sysClr val="windowText" lastClr="000000"/>
                  </a:solidFill>
                  <a:latin typeface="Calibri"/>
                </a:endParaRPr>
              </a:p>
            </c:rich>
          </c:tx>
          <c:layout>
            <c:manualLayout>
              <c:xMode val="edge"/>
              <c:yMode val="edge"/>
              <c:x val="0.4577412223472066"/>
              <c:y val="0.92324324324324325"/>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2367744"/>
        <c:crosses val="autoZero"/>
        <c:auto val="1"/>
        <c:lblAlgn val="ctr"/>
        <c:lblOffset val="100"/>
        <c:noMultiLvlLbl val="0"/>
      </c:catAx>
      <c:valAx>
        <c:axId val="162367744"/>
        <c:scaling>
          <c:orientation val="minMax"/>
        </c:scaling>
        <c:delete val="0"/>
        <c:axPos val="l"/>
        <c:majorGridlines>
          <c:spPr>
            <a:ln w="3175">
              <a:solidFill>
                <a:schemeClr val="bg1">
                  <a:lumMod val="85000"/>
                </a:schemeClr>
              </a:solidFill>
            </a:ln>
          </c:spPr>
        </c:majorGridlines>
        <c:title>
          <c:tx>
            <c:rich>
              <a:bodyPr rot="0" vert="horz"/>
              <a:lstStyle/>
              <a:p>
                <a:pPr>
                  <a:defRPr sz="1000" b="0" i="0" u="none" strike="noStrike" baseline="0">
                    <a:solidFill>
                      <a:srgbClr val="000000"/>
                    </a:solidFill>
                    <a:latin typeface="Calibri"/>
                    <a:ea typeface="Calibri"/>
                    <a:cs typeface="Calibri"/>
                  </a:defRPr>
                </a:pPr>
                <a:r>
                  <a:rPr lang="ar-QA" sz="1000" b="1" i="0" u="none" strike="noStrike" baseline="0">
                    <a:solidFill>
                      <a:srgbClr val="333399"/>
                    </a:solidFill>
                    <a:latin typeface="Calibri"/>
                  </a:rPr>
                  <a:t>العدد</a:t>
                </a:r>
              </a:p>
              <a:p>
                <a:pPr>
                  <a:defRPr sz="1000" b="0" i="0" u="none" strike="noStrike" baseline="0">
                    <a:solidFill>
                      <a:srgbClr val="000000"/>
                    </a:solidFill>
                    <a:latin typeface="Calibri"/>
                    <a:ea typeface="Calibri"/>
                    <a:cs typeface="Calibri"/>
                  </a:defRPr>
                </a:pPr>
                <a:r>
                  <a:rPr lang="en-US" sz="1000" b="1" i="0" u="none" strike="noStrike" baseline="0">
                    <a:solidFill>
                      <a:srgbClr val="333399"/>
                    </a:solidFill>
                    <a:latin typeface="Calibri"/>
                  </a:rPr>
                  <a:t>Number</a:t>
                </a:r>
                <a:endParaRPr lang="ar-QA" sz="1000" b="1" i="0" u="none" strike="noStrike" baseline="0">
                  <a:solidFill>
                    <a:srgbClr val="333399"/>
                  </a:solidFill>
                  <a:latin typeface="Calibri"/>
                </a:endParaRPr>
              </a:p>
            </c:rich>
          </c:tx>
          <c:layout>
            <c:manualLayout>
              <c:xMode val="edge"/>
              <c:yMode val="edge"/>
              <c:x val="2.73150656167979E-2"/>
              <c:y val="0.16087642760871107"/>
            </c:manualLayout>
          </c:layout>
          <c:overlay val="0"/>
        </c:title>
        <c:numFmt formatCode="0"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2365824"/>
        <c:crosses val="autoZero"/>
        <c:crossBetween val="between"/>
      </c:valAx>
    </c:plotArea>
    <c:legend>
      <c:legendPos val="r"/>
      <c:layout>
        <c:manualLayout>
          <c:xMode val="edge"/>
          <c:yMode val="edge"/>
          <c:x val="0.11196196475440572"/>
          <c:y val="0.15447453358870683"/>
          <c:w val="0.83574017247844024"/>
          <c:h val="8.8584805277718656E-2"/>
        </c:manualLayout>
      </c:layout>
      <c:overlay val="1"/>
      <c:txPr>
        <a:bodyPr/>
        <a:lstStyle/>
        <a:p>
          <a:pPr>
            <a:defRPr sz="10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متوسط العمر عند أول زواج (قطريون)   </a:t>
            </a:r>
            <a:r>
              <a:rPr lang="ar-QA" sz="1400" b="1" i="0" u="none" strike="noStrike" baseline="0">
                <a:solidFill>
                  <a:schemeClr val="bg1"/>
                </a:solidFill>
                <a:latin typeface="Calibri"/>
              </a:rPr>
              <a:t>ر</a:t>
            </a:r>
            <a:endParaRPr lang="ar-QA" sz="1200" b="1" i="0" u="none" strike="noStrike" baseline="0">
              <a:solidFill>
                <a:schemeClr val="bg1"/>
              </a:solidFill>
              <a:latin typeface="Calibri"/>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AVERAGE AGE AT FIRST MARRIAGE</a:t>
            </a:r>
            <a:r>
              <a:rPr lang="ar-QA" sz="1200" b="1" i="0" u="none" strike="noStrike" baseline="0">
                <a:solidFill>
                  <a:srgbClr val="000000"/>
                </a:solidFill>
                <a:latin typeface="Arial" pitchFamily="34" charset="0"/>
                <a:cs typeface="Arial" pitchFamily="34" charset="0"/>
              </a:rPr>
              <a:t> </a:t>
            </a:r>
            <a:r>
              <a:rPr lang="en-US" sz="1200" b="1" i="0" u="none" strike="noStrike" baseline="0">
                <a:solidFill>
                  <a:srgbClr val="000000"/>
                </a:solidFill>
                <a:latin typeface="Arial" pitchFamily="34" charset="0"/>
                <a:cs typeface="Arial" pitchFamily="34" charset="0"/>
              </a:rPr>
              <a:t>(QATARIS)</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pitchFamily="34" charset="0"/>
                <a:cs typeface="Arial" pitchFamily="34" charset="0"/>
              </a:rPr>
              <a:t>2012 - 2021</a:t>
            </a:r>
          </a:p>
        </c:rich>
      </c:tx>
      <c:layout>
        <c:manualLayout>
          <c:xMode val="edge"/>
          <c:yMode val="edge"/>
          <c:x val="0.32012850088655265"/>
          <c:y val="5.7484525664238534E-3"/>
        </c:manualLayout>
      </c:layout>
      <c:overlay val="0"/>
      <c:spPr>
        <a:noFill/>
        <a:ln w="25400">
          <a:noFill/>
        </a:ln>
      </c:spPr>
    </c:title>
    <c:autoTitleDeleted val="0"/>
    <c:plotArea>
      <c:layout>
        <c:manualLayout>
          <c:layoutTarget val="inner"/>
          <c:xMode val="edge"/>
          <c:yMode val="edge"/>
          <c:x val="7.0098568187451152E-2"/>
          <c:y val="0.16261239043233397"/>
          <c:w val="0.92389259034928362"/>
          <c:h val="0.75801136879747955"/>
        </c:manualLayout>
      </c:layout>
      <c:barChart>
        <c:barDir val="col"/>
        <c:grouping val="clustered"/>
        <c:varyColors val="0"/>
        <c:ser>
          <c:idx val="1"/>
          <c:order val="0"/>
          <c:tx>
            <c:strRef>
              <c:f>'3'!$C$7</c:f>
              <c:strCache>
                <c:ptCount val="1"/>
                <c:pt idx="0">
                  <c:v>إناث
Females</c:v>
                </c:pt>
              </c:strCache>
            </c:strRef>
          </c:tx>
          <c:spPr>
            <a:solidFill>
              <a:schemeClr val="accent2"/>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'3'!$F$8:$F$17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'3'!$C$8:$C$17</c:f>
              <c:numCache>
                <c:formatCode>0.0</c:formatCode>
                <c:ptCount val="10"/>
                <c:pt idx="0">
                  <c:v>23.02741358760429</c:v>
                </c:pt>
                <c:pt idx="1">
                  <c:v>23.5</c:v>
                </c:pt>
                <c:pt idx="2">
                  <c:v>24.1</c:v>
                </c:pt>
                <c:pt idx="3">
                  <c:v>23.829462102689487</c:v>
                </c:pt>
                <c:pt idx="4">
                  <c:v>24.1</c:v>
                </c:pt>
                <c:pt idx="5">
                  <c:v>24</c:v>
                </c:pt>
                <c:pt idx="6">
                  <c:v>24.5</c:v>
                </c:pt>
                <c:pt idx="7">
                  <c:v>24.4</c:v>
                </c:pt>
                <c:pt idx="8">
                  <c:v>24.8</c:v>
                </c:pt>
                <c:pt idx="9">
                  <c:v>24.9</c:v>
                </c:pt>
              </c:numCache>
            </c:numRef>
          </c:val>
          <c:extLst xmlns:c16r2="http://schemas.microsoft.com/office/drawing/2015/06/chart">
            <c:ext xmlns:c16="http://schemas.microsoft.com/office/drawing/2014/chart" uri="{C3380CC4-5D6E-409C-BE32-E72D297353CC}">
              <c16:uniqueId val="{00000000-E88E-4D5E-8715-FD0F5A45BD4E}"/>
            </c:ext>
          </c:extLst>
        </c:ser>
        <c:ser>
          <c:idx val="0"/>
          <c:order val="1"/>
          <c:tx>
            <c:strRef>
              <c:f>'3'!$B$7</c:f>
              <c:strCache>
                <c:ptCount val="1"/>
                <c:pt idx="0">
                  <c:v>ذكور 
Males</c:v>
                </c:pt>
              </c:strCache>
            </c:strRef>
          </c:tx>
          <c:spPr>
            <a:solidFill>
              <a:schemeClr val="tx2">
                <a:lumMod val="60000"/>
                <a:lumOff val="40000"/>
              </a:schemeClr>
            </a:solidFill>
            <a:scene3d>
              <a:camera prst="orthographicFront"/>
              <a:lightRig rig="threePt" dir="t"/>
            </a:scene3d>
            <a:sp3d/>
          </c:spPr>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'3'!$F$8:$F$17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'3'!$B$8:$B$17</c:f>
              <c:numCache>
                <c:formatCode>0.0</c:formatCode>
                <c:ptCount val="10"/>
                <c:pt idx="0">
                  <c:v>26.174934725848566</c:v>
                </c:pt>
                <c:pt idx="1">
                  <c:v>26.1</c:v>
                </c:pt>
                <c:pt idx="2">
                  <c:v>26.5</c:v>
                </c:pt>
                <c:pt idx="3">
                  <c:v>26.254914809960681</c:v>
                </c:pt>
                <c:pt idx="4">
                  <c:v>26.3</c:v>
                </c:pt>
                <c:pt idx="5">
                  <c:v>26.6</c:v>
                </c:pt>
                <c:pt idx="6">
                  <c:v>26.7</c:v>
                </c:pt>
                <c:pt idx="7">
                  <c:v>26.9</c:v>
                </c:pt>
                <c:pt idx="8">
                  <c:v>27.2</c:v>
                </c:pt>
                <c:pt idx="9">
                  <c:v>27.4</c:v>
                </c:pt>
              </c:numCache>
            </c:numRef>
          </c:val>
          <c:extLst xmlns:c16r2="http://schemas.microsoft.com/office/drawing/2015/06/chart">
            <c:ext xmlns:c16="http://schemas.microsoft.com/office/drawing/2014/chart" uri="{C3380CC4-5D6E-409C-BE32-E72D297353CC}">
              <c16:uniqueId val="{00000001-E88E-4D5E-8715-FD0F5A45BD4E}"/>
            </c:ext>
          </c:extLst>
        </c:ser>
        <c:dLbls>
          <c:showLegendKey val="0"/>
          <c:showVal val="0"/>
          <c:showCatName val="0"/>
          <c:showSerName val="0"/>
          <c:showPercent val="0"/>
          <c:showBubbleSize val="0"/>
        </c:dLbls>
        <c:gapWidth val="150"/>
        <c:axId val="152125824"/>
        <c:axId val="152127360"/>
      </c:barChart>
      <c:catAx>
        <c:axId val="152125824"/>
        <c:scaling>
          <c:orientation val="minMax"/>
        </c:scaling>
        <c:delete val="0"/>
        <c:axPos val="b"/>
        <c:majorGridlines>
          <c:spPr>
            <a:ln w="3175">
              <a:solidFill>
                <a:schemeClr val="bg1">
                  <a:lumMod val="85000"/>
                </a:schemeClr>
              </a:solidFill>
              <a:prstDash val="sysDot"/>
            </a:ln>
          </c:spPr>
        </c:majorGridlines>
        <c:numFmt formatCode="General" sourceLinked="1"/>
        <c:majorTickMark val="out"/>
        <c:minorTickMark val="none"/>
        <c:tickLblPos val="nextTo"/>
        <c:txPr>
          <a:bodyPr rot="0" vert="horz"/>
          <a:lstStyle/>
          <a:p>
            <a:pPr rtl="0">
              <a:defRPr sz="1000" b="1" i="0" u="none" strike="noStrike" baseline="0">
                <a:solidFill>
                  <a:sysClr val="windowText" lastClr="000000"/>
                </a:solidFill>
                <a:latin typeface="Arial"/>
                <a:ea typeface="Arial"/>
                <a:cs typeface="Arial"/>
              </a:defRPr>
            </a:pPr>
            <a:endParaRPr lang="en-US"/>
          </a:p>
        </c:txPr>
        <c:crossAx val="152127360"/>
        <c:crosses val="autoZero"/>
        <c:auto val="1"/>
        <c:lblAlgn val="ctr"/>
        <c:lblOffset val="100"/>
        <c:tickLblSkip val="1"/>
        <c:tickMarkSkip val="1"/>
        <c:noMultiLvlLbl val="0"/>
      </c:catAx>
      <c:valAx>
        <c:axId val="152127360"/>
        <c:scaling>
          <c:orientation val="minMax"/>
        </c:scaling>
        <c:delete val="0"/>
        <c:axPos val="l"/>
        <c:majorGridlines>
          <c:spPr>
            <a:ln w="3175">
              <a:solidFill>
                <a:schemeClr val="bg1">
                  <a:lumMod val="85000"/>
                </a:schemeClr>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cs typeface="+mn-cs"/>
                  </a:rPr>
                  <a:t>المعدل</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pitchFamily="34" charset="0"/>
                    <a:cs typeface="Arial" pitchFamily="34" charset="0"/>
                  </a:rPr>
                  <a:t>Rate</a:t>
                </a:r>
              </a:p>
            </c:rich>
          </c:tx>
          <c:layout>
            <c:manualLayout>
              <c:xMode val="edge"/>
              <c:yMode val="edge"/>
              <c:x val="1.4667658068165553E-2"/>
              <c:y val="5.4411460599510922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2125824"/>
        <c:crosses val="autoZero"/>
        <c:crossBetween val="between"/>
      </c:valAx>
      <c:spPr>
        <a:noFill/>
        <a:ln w="25400">
          <a:noFill/>
        </a:ln>
      </c:spPr>
    </c:plotArea>
    <c:legend>
      <c:legendPos val="r"/>
      <c:layout>
        <c:manualLayout>
          <c:xMode val="edge"/>
          <c:yMode val="edge"/>
          <c:x val="0.10087777163447788"/>
          <c:y val="9.1772378720040265E-2"/>
          <c:w val="0.21718632628548548"/>
          <c:h val="7.4138887719249022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ar-QA" sz="1400" b="1" i="0" baseline="0">
                <a:cs typeface="+mn-cs"/>
              </a:rPr>
              <a:t>عدد الأبناء للمطلقة حسب فئة عمرالزوج والزوجة </a:t>
            </a:r>
            <a:endParaRPr lang="en-US" sz="1400" b="1" i="0" baseline="0">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en-US" sz="1200" b="1" i="0" baseline="0">
                <a:latin typeface="Arial" pitchFamily="34" charset="0"/>
                <a:cs typeface="Arial" pitchFamily="34" charset="0"/>
              </a:rPr>
              <a:t>NUMBER OF CHILDREN OF DIVORCEE BY AGE GROUP OF HUSBAND AND WIFE</a:t>
            </a:r>
            <a:endParaRPr lang="en-US" sz="1200" b="0" i="0" baseline="0">
              <a:latin typeface="Arial" pitchFamily="34" charset="0"/>
              <a:cs typeface="Arial"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en-US" sz="1100" b="1" i="0" baseline="0">
                <a:effectLst/>
                <a:latin typeface="Arial" panose="020B0604020202020204" pitchFamily="34" charset="0"/>
                <a:cs typeface="Arial" panose="020B0604020202020204" pitchFamily="34" charset="0"/>
              </a:rPr>
              <a:t>Non-Qataris </a:t>
            </a:r>
            <a:r>
              <a:rPr lang="ar-SA" sz="1200" b="1" i="0" baseline="0">
                <a:cs typeface="+mn-cs"/>
              </a:rPr>
              <a:t>غير قطريين </a:t>
            </a:r>
            <a:endParaRPr lang="en-US" sz="1200" b="1" i="0" baseline="0">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mn-cs"/>
              </a:defRPr>
            </a:pPr>
            <a:r>
              <a:rPr lang="en-US" sz="1200" b="1" i="0" baseline="0">
                <a:latin typeface="Arial" pitchFamily="34" charset="0"/>
                <a:cs typeface="Arial" pitchFamily="34" charset="0"/>
              </a:rPr>
              <a:t>2021</a:t>
            </a:r>
            <a:endParaRPr lang="en-US" sz="1200">
              <a:latin typeface="Arial" pitchFamily="34" charset="0"/>
              <a:cs typeface="Arial" pitchFamily="34" charset="0"/>
            </a:endParaRPr>
          </a:p>
        </c:rich>
      </c:tx>
      <c:layout>
        <c:manualLayout>
          <c:xMode val="edge"/>
          <c:yMode val="edge"/>
          <c:x val="0.16704479940007499"/>
          <c:y val="1.326700716464496E-2"/>
        </c:manualLayout>
      </c:layout>
      <c:overlay val="0"/>
    </c:title>
    <c:autoTitleDeleted val="0"/>
    <c:plotArea>
      <c:layout>
        <c:manualLayout>
          <c:layoutTarget val="inner"/>
          <c:xMode val="edge"/>
          <c:yMode val="edge"/>
          <c:x val="5.1005144356955377E-2"/>
          <c:y val="0.23898737319997163"/>
          <c:w val="0.91718527184101983"/>
          <c:h val="0.64704387458324464"/>
        </c:manualLayout>
      </c:layout>
      <c:barChart>
        <c:barDir val="col"/>
        <c:grouping val="clustered"/>
        <c:varyColors val="0"/>
        <c:ser>
          <c:idx val="0"/>
          <c:order val="0"/>
          <c:tx>
            <c:strRef>
              <c:f>'42-2'!$B$31</c:f>
              <c:strCache>
                <c:ptCount val="1"/>
                <c:pt idx="0">
                  <c:v>عدد الأبناء للمطلقة حسب فئة عمر الزوجة
Number of children of divorcee by age group of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'42-2'!$B$32:$B$42</c:f>
              <c:numCache>
                <c:formatCode>General</c:formatCode>
                <c:ptCount val="11"/>
                <c:pt idx="0">
                  <c:v>0</c:v>
                </c:pt>
                <c:pt idx="1">
                  <c:v>1</c:v>
                </c:pt>
                <c:pt idx="2">
                  <c:v>4</c:v>
                </c:pt>
                <c:pt idx="3">
                  <c:v>4</c:v>
                </c:pt>
                <c:pt idx="4">
                  <c:v>13</c:v>
                </c:pt>
                <c:pt idx="5">
                  <c:v>7</c:v>
                </c:pt>
                <c:pt idx="6">
                  <c:v>4</c:v>
                </c:pt>
                <c:pt idx="7">
                  <c:v>0</c:v>
                </c:pt>
                <c:pt idx="8">
                  <c:v>3</c:v>
                </c:pt>
                <c:pt idx="9">
                  <c:v>0</c:v>
                </c:pt>
                <c:pt idx="10" formatCode="0">
                  <c:v>4</c:v>
                </c:pt>
              </c:numCache>
            </c:numRef>
          </c:val>
          <c:extLst xmlns:c16r2="http://schemas.microsoft.com/office/drawing/2015/06/chart">
            <c:ext xmlns:c16="http://schemas.microsoft.com/office/drawing/2014/chart" uri="{C3380CC4-5D6E-409C-BE32-E72D297353CC}">
              <c16:uniqueId val="{00000000-21AE-4E77-A01E-D0B7C20F7B0A}"/>
            </c:ext>
          </c:extLst>
        </c:ser>
        <c:ser>
          <c:idx val="1"/>
          <c:order val="1"/>
          <c:tx>
            <c:strRef>
              <c:f>'42-2'!$C$31</c:f>
              <c:strCache>
                <c:ptCount val="1"/>
                <c:pt idx="0">
                  <c:v>عدد الأبناء للمطلقة حسب فئة عمر الزوج
Number of children of divorcee by age group of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'42-2'!$A$32:$A$42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'42-2'!$C$32:$C$42</c:f>
              <c:numCache>
                <c:formatCode>General</c:formatCode>
                <c:ptCount val="11"/>
                <c:pt idx="0">
                  <c:v>0</c:v>
                </c:pt>
                <c:pt idx="1">
                  <c:v>0</c:v>
                </c:pt>
                <c:pt idx="2">
                  <c:v>0</c:v>
                </c:pt>
                <c:pt idx="3">
                  <c:v>2</c:v>
                </c:pt>
                <c:pt idx="4">
                  <c:v>13</c:v>
                </c:pt>
                <c:pt idx="5">
                  <c:v>6</c:v>
                </c:pt>
                <c:pt idx="6">
                  <c:v>12</c:v>
                </c:pt>
                <c:pt idx="7">
                  <c:v>0</c:v>
                </c:pt>
                <c:pt idx="8">
                  <c:v>3</c:v>
                </c:pt>
                <c:pt idx="9">
                  <c:v>4</c:v>
                </c:pt>
                <c:pt idx="10">
                  <c:v>0</c:v>
                </c:pt>
              </c:numCache>
            </c:numRef>
          </c:val>
          <c:extLst xmlns:c16r2="http://schemas.microsoft.com/office/drawing/2015/06/chart">
            <c:ext xmlns:c16="http://schemas.microsoft.com/office/drawing/2014/chart" uri="{C3380CC4-5D6E-409C-BE32-E72D297353CC}">
              <c16:uniqueId val="{00000001-21AE-4E77-A01E-D0B7C20F7B0A}"/>
            </c:ext>
          </c:extLst>
        </c:ser>
        <c:dLbls>
          <c:showLegendKey val="0"/>
          <c:showVal val="0"/>
          <c:showCatName val="0"/>
          <c:showSerName val="0"/>
          <c:showPercent val="0"/>
          <c:showBubbleSize val="0"/>
        </c:dLbls>
        <c:gapWidth val="150"/>
        <c:axId val="162454912"/>
        <c:axId val="162539008"/>
      </c:barChart>
      <c:catAx>
        <c:axId val="162454912"/>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Calibri"/>
                  </a:rPr>
                  <a:t>الفئات العمرية </a:t>
                </a:r>
                <a:endParaRPr lang="en-US" sz="1200" b="1" i="0" u="none" strike="noStrike" baseline="0">
                  <a:solidFill>
                    <a:sysClr val="windowText" lastClr="000000"/>
                  </a:solidFill>
                  <a:latin typeface="Calibri"/>
                </a:endParaRPr>
              </a:p>
              <a:p>
                <a:pPr>
                  <a:defRPr sz="1100" b="0" i="0" u="none" strike="noStrike" baseline="0">
                    <a:solidFill>
                      <a:sysClr val="windowText" lastClr="000000"/>
                    </a:solidFill>
                    <a:latin typeface="Calibri"/>
                    <a:ea typeface="Calibri"/>
                    <a:cs typeface="Calibri"/>
                  </a:defRPr>
                </a:pPr>
                <a:r>
                  <a:rPr lang="en-US" sz="1100" b="1" i="0" u="none" strike="noStrike" baseline="0">
                    <a:effectLst/>
                  </a:rPr>
                  <a:t>Age groups</a:t>
                </a:r>
                <a:endParaRPr lang="ar-QA" sz="1200" b="1" i="0" u="none" strike="noStrike" baseline="0">
                  <a:solidFill>
                    <a:sysClr val="windowText" lastClr="000000"/>
                  </a:solidFill>
                  <a:latin typeface="Calibri"/>
                </a:endParaRPr>
              </a:p>
            </c:rich>
          </c:tx>
          <c:layout>
            <c:manualLayout>
              <c:xMode val="edge"/>
              <c:yMode val="edge"/>
              <c:x val="0.49583642902426023"/>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2539008"/>
        <c:crosses val="autoZero"/>
        <c:auto val="1"/>
        <c:lblAlgn val="ctr"/>
        <c:lblOffset val="100"/>
        <c:noMultiLvlLbl val="0"/>
      </c:catAx>
      <c:valAx>
        <c:axId val="162539008"/>
        <c:scaling>
          <c:orientation val="minMax"/>
        </c:scaling>
        <c:delete val="0"/>
        <c:axPos val="l"/>
        <c:majorGridlines>
          <c:spPr>
            <a:ln w="3175">
              <a:solidFill>
                <a:schemeClr val="bg1">
                  <a:lumMod val="85000"/>
                </a:schemeClr>
              </a:solidFill>
            </a:ln>
          </c:spPr>
        </c:majorGridlines>
        <c:title>
          <c:tx>
            <c:rich>
              <a:bodyPr rot="0" vert="horz"/>
              <a:lstStyle/>
              <a:p>
                <a:pPr>
                  <a:defRPr sz="1000" b="0" i="0" u="none" strike="noStrike" baseline="0">
                    <a:solidFill>
                      <a:srgbClr val="000000"/>
                    </a:solidFill>
                    <a:latin typeface="Calibri"/>
                    <a:ea typeface="Calibri"/>
                    <a:cs typeface="Calibri"/>
                  </a:defRPr>
                </a:pPr>
                <a:r>
                  <a:rPr lang="ar-QA" sz="1000" b="1" i="0" u="none" strike="noStrike" baseline="0">
                    <a:solidFill>
                      <a:srgbClr val="333399"/>
                    </a:solidFill>
                    <a:latin typeface="Calibri"/>
                  </a:rPr>
                  <a:t>العدد</a:t>
                </a:r>
              </a:p>
              <a:p>
                <a:pPr>
                  <a:defRPr sz="1000" b="0" i="0" u="none" strike="noStrike" baseline="0">
                    <a:solidFill>
                      <a:srgbClr val="000000"/>
                    </a:solidFill>
                    <a:latin typeface="Calibri"/>
                    <a:ea typeface="Calibri"/>
                    <a:cs typeface="Calibri"/>
                  </a:defRPr>
                </a:pPr>
                <a:r>
                  <a:rPr lang="en-US" sz="1000" b="1" i="0" u="none" strike="noStrike" baseline="0">
                    <a:solidFill>
                      <a:srgbClr val="333399"/>
                    </a:solidFill>
                    <a:latin typeface="Calibri"/>
                  </a:rPr>
                  <a:t>Number</a:t>
                </a:r>
                <a:endParaRPr lang="ar-QA" sz="1000" b="1" i="0" u="none" strike="noStrike" baseline="0">
                  <a:solidFill>
                    <a:srgbClr val="333399"/>
                  </a:solidFill>
                  <a:latin typeface="Calibri"/>
                </a:endParaRPr>
              </a:p>
            </c:rich>
          </c:tx>
          <c:layout>
            <c:manualLayout>
              <c:xMode val="edge"/>
              <c:yMode val="edge"/>
              <c:x val="1.2076970378702662E-2"/>
              <c:y val="0.14285840959069304"/>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2454912"/>
        <c:crosses val="autoZero"/>
        <c:crossBetween val="between"/>
      </c:valAx>
    </c:plotArea>
    <c:legend>
      <c:legendPos val="r"/>
      <c:layout>
        <c:manualLayout>
          <c:xMode val="edge"/>
          <c:yMode val="edge"/>
          <c:x val="7.8438155230596149E-2"/>
          <c:y val="0.16798804710222034"/>
          <c:w val="0.8860258867641545"/>
          <c:h val="7.5071291764205142E-2"/>
        </c:manualLayout>
      </c:layout>
      <c:overlay val="0"/>
      <c:txPr>
        <a:bodyPr/>
        <a:lstStyle/>
        <a:p>
          <a:pPr>
            <a:defRPr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عدد الأبناء للمطلقة حسب فئة عمرالزوج والزوجة </a:t>
            </a:r>
            <a:endParaRPr lang="en-US" sz="1400" b="1" i="0" u="none" strike="noStrike" baseline="0">
              <a:solidFill>
                <a:srgbClr val="000000"/>
              </a:solidFill>
              <a:latin typeface="Calibri"/>
            </a:endParaRPr>
          </a:p>
          <a:p>
            <a:pPr rtl="0">
              <a:defRPr sz="1000" b="0" i="0" u="none" strike="noStrike" baseline="0">
                <a:solidFill>
                  <a:srgbClr val="000000"/>
                </a:solidFill>
                <a:latin typeface="Calibri"/>
                <a:ea typeface="Calibri"/>
                <a:cs typeface="Calibri"/>
              </a:defRPr>
            </a:pPr>
            <a:r>
              <a:rPr lang="en-US" sz="1200" b="1" i="0" baseline="0"/>
              <a:t>NUMBER OF CHILDREN OF DIVORCEE BY AGE GROUP OF HUSBAND AND WIFE</a:t>
            </a:r>
            <a:endParaRPr lang="en-US" sz="1200" b="0" i="0" baseline="0"/>
          </a:p>
          <a:p>
            <a:pPr rtl="0">
              <a:defRPr sz="1000" b="0" i="0" u="none" strike="noStrike" baseline="0">
                <a:solidFill>
                  <a:srgbClr val="000000"/>
                </a:solidFill>
                <a:latin typeface="Calibri"/>
                <a:ea typeface="Calibri"/>
                <a:cs typeface="Calibri"/>
              </a:defRPr>
            </a:pPr>
            <a:r>
              <a:rPr lang="en-US" sz="1100" b="1" i="0" u="none" strike="noStrike" baseline="0">
                <a:effectLst/>
                <a:latin typeface="Arial" panose="020B0604020202020204" pitchFamily="34" charset="0"/>
                <a:cs typeface="Arial" panose="020B0604020202020204" pitchFamily="34" charset="0"/>
              </a:rPr>
              <a:t>Total</a:t>
            </a:r>
            <a:r>
              <a:rPr lang="en-US" sz="1000" b="1" i="0" u="none" strike="noStrike" baseline="0">
                <a:effectLst/>
              </a:rPr>
              <a:t> </a:t>
            </a:r>
            <a:r>
              <a:rPr lang="ar-QA" sz="1200" b="1" i="0" u="none" strike="noStrike" baseline="0">
                <a:solidFill>
                  <a:srgbClr val="000000"/>
                </a:solidFill>
                <a:latin typeface="Arial"/>
                <a:cs typeface="Arial"/>
              </a:rPr>
              <a:t>المجموع  </a:t>
            </a:r>
            <a:endParaRPr lang="en-US" sz="1200" b="1" i="0" u="none" strike="noStrike" baseline="0">
              <a:solidFill>
                <a:srgbClr val="000000"/>
              </a:solidFill>
              <a:latin typeface="Arial"/>
              <a:cs typeface="Arial"/>
            </a:endParaRP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19294956130483693"/>
          <c:y val="6.5102504078882123E-3"/>
        </c:manualLayout>
      </c:layout>
      <c:overlay val="0"/>
    </c:title>
    <c:autoTitleDeleted val="0"/>
    <c:plotArea>
      <c:layout>
        <c:manualLayout>
          <c:layoutTarget val="inner"/>
          <c:xMode val="edge"/>
          <c:yMode val="edge"/>
          <c:x val="7.9957525309336336E-2"/>
          <c:y val="0.22772611193871037"/>
          <c:w val="0.88975670041244848"/>
          <c:h val="0.64704387458324464"/>
        </c:manualLayout>
      </c:layout>
      <c:barChart>
        <c:barDir val="col"/>
        <c:grouping val="clustered"/>
        <c:varyColors val="0"/>
        <c:ser>
          <c:idx val="0"/>
          <c:order val="0"/>
          <c:tx>
            <c:strRef>
              <c:f>'42-3'!$B$31</c:f>
              <c:strCache>
                <c:ptCount val="1"/>
                <c:pt idx="0">
                  <c:v>عدد الأبناء للمطلقة حسب فئة عمر الزوجة
Number of children of divorcee by age group of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'42-3'!$B$32:$B$42</c:f>
              <c:numCache>
                <c:formatCode>General</c:formatCode>
                <c:ptCount val="11"/>
                <c:pt idx="0">
                  <c:v>0</c:v>
                </c:pt>
                <c:pt idx="1">
                  <c:v>4</c:v>
                </c:pt>
                <c:pt idx="2">
                  <c:v>19</c:v>
                </c:pt>
                <c:pt idx="3">
                  <c:v>18</c:v>
                </c:pt>
                <c:pt idx="4">
                  <c:v>43</c:v>
                </c:pt>
                <c:pt idx="5">
                  <c:v>15</c:v>
                </c:pt>
                <c:pt idx="6">
                  <c:v>24</c:v>
                </c:pt>
                <c:pt idx="7">
                  <c:v>9</c:v>
                </c:pt>
                <c:pt idx="8">
                  <c:v>12</c:v>
                </c:pt>
                <c:pt idx="9">
                  <c:v>16</c:v>
                </c:pt>
                <c:pt idx="10" formatCode="0">
                  <c:v>4</c:v>
                </c:pt>
              </c:numCache>
            </c:numRef>
          </c:val>
          <c:extLst xmlns:c16r2="http://schemas.microsoft.com/office/drawing/2015/06/chart">
            <c:ext xmlns:c16="http://schemas.microsoft.com/office/drawing/2014/chart" uri="{C3380CC4-5D6E-409C-BE32-E72D297353CC}">
              <c16:uniqueId val="{00000000-9EE6-4A2F-AC83-F25B422A84FF}"/>
            </c:ext>
          </c:extLst>
        </c:ser>
        <c:ser>
          <c:idx val="1"/>
          <c:order val="1"/>
          <c:tx>
            <c:strRef>
              <c:f>'42-3'!$C$31</c:f>
              <c:strCache>
                <c:ptCount val="1"/>
                <c:pt idx="0">
                  <c:v>عدد الأبناء للمطلقة حسب فئة عمر الزوج
Number of children of divorcee by age group of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'42-3'!$A$32:$A$42</c:f>
              <c:strCache>
                <c:ptCount val="11"/>
                <c:pt idx="0">
                  <c:v>-20</c:v>
                </c:pt>
                <c:pt idx="1">
                  <c:v>20 - 24</c:v>
                </c:pt>
                <c:pt idx="2">
                  <c:v>25 - 29</c:v>
                </c:pt>
                <c:pt idx="3">
                  <c:v>30 - 34</c:v>
                </c:pt>
                <c:pt idx="4">
                  <c:v>35 - 39</c:v>
                </c:pt>
                <c:pt idx="5">
                  <c:v>40 - 44</c:v>
                </c:pt>
                <c:pt idx="6">
                  <c:v>45 - 49</c:v>
                </c:pt>
                <c:pt idx="7">
                  <c:v>50 - 54</c:v>
                </c:pt>
                <c:pt idx="8">
                  <c:v>55 - 59</c:v>
                </c:pt>
                <c:pt idx="9">
                  <c:v>60 +</c:v>
                </c:pt>
                <c:pt idx="10">
                  <c:v>غير مبين 
Not Stated</c:v>
                </c:pt>
              </c:strCache>
            </c:strRef>
          </c:cat>
          <c:val>
            <c:numRef>
              <c:f>'42-3'!$C$32:$C$42</c:f>
              <c:numCache>
                <c:formatCode>General</c:formatCode>
                <c:ptCount val="11"/>
                <c:pt idx="0">
                  <c:v>0</c:v>
                </c:pt>
                <c:pt idx="1">
                  <c:v>0</c:v>
                </c:pt>
                <c:pt idx="2">
                  <c:v>10</c:v>
                </c:pt>
                <c:pt idx="3">
                  <c:v>18</c:v>
                </c:pt>
                <c:pt idx="4">
                  <c:v>26</c:v>
                </c:pt>
                <c:pt idx="5">
                  <c:v>7</c:v>
                </c:pt>
                <c:pt idx="6">
                  <c:v>54</c:v>
                </c:pt>
                <c:pt idx="7">
                  <c:v>21</c:v>
                </c:pt>
                <c:pt idx="8">
                  <c:v>9</c:v>
                </c:pt>
                <c:pt idx="9">
                  <c:v>19</c:v>
                </c:pt>
                <c:pt idx="10">
                  <c:v>0</c:v>
                </c:pt>
              </c:numCache>
            </c:numRef>
          </c:val>
          <c:extLst xmlns:c16r2="http://schemas.microsoft.com/office/drawing/2015/06/chart">
            <c:ext xmlns:c16="http://schemas.microsoft.com/office/drawing/2014/chart" uri="{C3380CC4-5D6E-409C-BE32-E72D297353CC}">
              <c16:uniqueId val="{00000001-9EE6-4A2F-AC83-F25B422A84FF}"/>
            </c:ext>
          </c:extLst>
        </c:ser>
        <c:dLbls>
          <c:showLegendKey val="0"/>
          <c:showVal val="0"/>
          <c:showCatName val="0"/>
          <c:showSerName val="0"/>
          <c:showPercent val="0"/>
          <c:showBubbleSize val="0"/>
        </c:dLbls>
        <c:gapWidth val="150"/>
        <c:axId val="162880128"/>
        <c:axId val="162902784"/>
      </c:barChart>
      <c:catAx>
        <c:axId val="16288012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ysClr val="windowText" lastClr="000000"/>
                    </a:solidFill>
                    <a:latin typeface="Calibri"/>
                    <a:ea typeface="Calibri"/>
                    <a:cs typeface="Calibri"/>
                  </a:defRPr>
                </a:pPr>
                <a:r>
                  <a:rPr lang="ar-QA" sz="1200" b="1" i="0" u="none" strike="noStrike" baseline="0">
                    <a:solidFill>
                      <a:sysClr val="windowText" lastClr="000000"/>
                    </a:solidFill>
                    <a:latin typeface="Calibri"/>
                  </a:rPr>
                  <a:t>الفئات العمرية </a:t>
                </a:r>
                <a:endParaRPr lang="en-US" sz="1200" b="1" i="0" u="none" strike="noStrike" baseline="0">
                  <a:solidFill>
                    <a:sysClr val="windowText" lastClr="000000"/>
                  </a:solidFill>
                  <a:latin typeface="Calibri"/>
                </a:endParaRPr>
              </a:p>
              <a:p>
                <a:pPr>
                  <a:defRPr sz="1100" b="0" i="0" u="none" strike="noStrike" baseline="0">
                    <a:solidFill>
                      <a:sysClr val="windowText" lastClr="000000"/>
                    </a:solidFill>
                    <a:latin typeface="Calibri"/>
                    <a:ea typeface="Calibri"/>
                    <a:cs typeface="Calibri"/>
                  </a:defRPr>
                </a:pPr>
                <a:r>
                  <a:rPr lang="en-US" sz="1100" b="1" i="0" u="none" strike="noStrike" baseline="0">
                    <a:effectLst/>
                  </a:rPr>
                  <a:t>Age groups</a:t>
                </a:r>
                <a:endParaRPr lang="ar-QA" sz="1200" b="1" i="0" u="none" strike="noStrike" baseline="0">
                  <a:solidFill>
                    <a:sysClr val="windowText" lastClr="000000"/>
                  </a:solidFill>
                  <a:latin typeface="Calibri"/>
                </a:endParaRPr>
              </a:p>
            </c:rich>
          </c:tx>
          <c:layout>
            <c:manualLayout>
              <c:xMode val="edge"/>
              <c:yMode val="edge"/>
              <c:x val="0.49583642902426051"/>
              <c:y val="0.95561112293395767"/>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2902784"/>
        <c:crosses val="autoZero"/>
        <c:auto val="1"/>
        <c:lblAlgn val="ctr"/>
        <c:lblOffset val="100"/>
        <c:noMultiLvlLbl val="0"/>
      </c:catAx>
      <c:valAx>
        <c:axId val="162902784"/>
        <c:scaling>
          <c:orientation val="minMax"/>
        </c:scaling>
        <c:delete val="0"/>
        <c:axPos val="l"/>
        <c:majorGridlines>
          <c:spPr>
            <a:ln w="3175">
              <a:solidFill>
                <a:schemeClr val="bg1">
                  <a:lumMod val="85000"/>
                </a:schemeClr>
              </a:solidFill>
            </a:ln>
          </c:spPr>
        </c:majorGridlines>
        <c:title>
          <c:tx>
            <c:rich>
              <a:bodyPr rot="0" vert="horz"/>
              <a:lstStyle/>
              <a:p>
                <a:pPr rtl="0">
                  <a:defRPr sz="1100" b="0" i="0" u="none" strike="noStrike" baseline="0">
                    <a:solidFill>
                      <a:srgbClr val="000000"/>
                    </a:solidFill>
                    <a:latin typeface="Calibri"/>
                    <a:ea typeface="Calibri"/>
                    <a:cs typeface="Calibri"/>
                  </a:defRPr>
                </a:pPr>
                <a:r>
                  <a:rPr lang="ar-QA" sz="1000" b="1" i="0" baseline="0">
                    <a:solidFill>
                      <a:schemeClr val="tx2"/>
                    </a:solidFill>
                    <a:effectLst/>
                  </a:rPr>
                  <a:t>العدد</a:t>
                </a:r>
                <a:endParaRPr lang="en-US" sz="1000">
                  <a:solidFill>
                    <a:schemeClr val="tx2"/>
                  </a:solidFill>
                  <a:effectLst/>
                </a:endParaRPr>
              </a:p>
              <a:p>
                <a:pPr rtl="0">
                  <a:defRPr sz="1100" b="0" i="0" u="none" strike="noStrike" baseline="0">
                    <a:solidFill>
                      <a:srgbClr val="000000"/>
                    </a:solidFill>
                    <a:latin typeface="Calibri"/>
                    <a:ea typeface="Calibri"/>
                    <a:cs typeface="Calibri"/>
                  </a:defRPr>
                </a:pPr>
                <a:r>
                  <a:rPr lang="en-US" sz="1000" b="1" i="0" baseline="0">
                    <a:solidFill>
                      <a:schemeClr val="tx2"/>
                    </a:solidFill>
                    <a:effectLst/>
                  </a:rPr>
                  <a:t>Number</a:t>
                </a:r>
                <a:endParaRPr lang="en-US" sz="1000">
                  <a:solidFill>
                    <a:schemeClr val="tx2"/>
                  </a:solidFill>
                  <a:effectLst/>
                </a:endParaRPr>
              </a:p>
            </c:rich>
          </c:tx>
          <c:layout>
            <c:manualLayout>
              <c:xMode val="edge"/>
              <c:yMode val="edge"/>
              <c:x val="1.8172208473940757E-2"/>
              <c:y val="0.14285840959069304"/>
            </c:manualLayout>
          </c:layout>
          <c:overlay val="0"/>
        </c:title>
        <c:numFmt formatCode="General" sourceLinked="1"/>
        <c:majorTickMark val="out"/>
        <c:minorTickMark val="none"/>
        <c:tickLblPos val="nextTo"/>
        <c:txPr>
          <a:bodyPr rot="0" vert="horz"/>
          <a:lstStyle/>
          <a:p>
            <a:pPr>
              <a:defRPr sz="1000" b="1" i="0" u="none" strike="noStrike" baseline="0">
                <a:solidFill>
                  <a:srgbClr val="000000"/>
                </a:solidFill>
                <a:latin typeface="Arial"/>
                <a:ea typeface="Arial"/>
                <a:cs typeface="Arial"/>
              </a:defRPr>
            </a:pPr>
            <a:endParaRPr lang="en-US"/>
          </a:p>
        </c:txPr>
        <c:crossAx val="162880128"/>
        <c:crosses val="autoZero"/>
        <c:crossBetween val="between"/>
      </c:valAx>
    </c:plotArea>
    <c:legend>
      <c:legendPos val="r"/>
      <c:layout>
        <c:manualLayout>
          <c:xMode val="edge"/>
          <c:yMode val="edge"/>
          <c:x val="7.6914345706786624E-2"/>
          <c:y val="0.14771777683195009"/>
          <c:w val="0.8860258867641545"/>
          <c:h val="7.2819039511952885E-2"/>
        </c:manualLayout>
      </c:layout>
      <c:overlay val="1"/>
      <c:txPr>
        <a:bodyPr/>
        <a:lstStyle/>
        <a:p>
          <a:pPr>
            <a:defRPr sz="10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إشهادات الطلاق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a:t>DIVORCES BY NUMBER OF WIFE'S CHILDREN &amp; NATIONALITY OF HUSBAND &amp; WIFE</a:t>
            </a:r>
            <a:endParaRPr lang="en-US" sz="1200"/>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4.0851375959536043E-2"/>
          <c:y val="0.21014253218347706"/>
          <c:w val="0.92950558579934484"/>
          <c:h val="0.60515475565554311"/>
        </c:manualLayout>
      </c:layout>
      <c:barChart>
        <c:barDir val="col"/>
        <c:grouping val="clustered"/>
        <c:varyColors val="0"/>
        <c:ser>
          <c:idx val="0"/>
          <c:order val="0"/>
          <c:tx>
            <c:strRef>
              <c:f>'44'!$B$22</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'44'!$A$23:$A$26</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'44'!$B$23:$B$26</c:f>
              <c:numCache>
                <c:formatCode>General</c:formatCode>
                <c:ptCount val="4"/>
                <c:pt idx="0" formatCode="#,##0">
                  <c:v>1136</c:v>
                </c:pt>
                <c:pt idx="1">
                  <c:v>188</c:v>
                </c:pt>
                <c:pt idx="2">
                  <c:v>81</c:v>
                </c:pt>
                <c:pt idx="3">
                  <c:v>736</c:v>
                </c:pt>
              </c:numCache>
            </c:numRef>
          </c:val>
          <c:extLst xmlns:c16r2="http://schemas.microsoft.com/office/drawing/2015/06/chart">
            <c:ext xmlns:c16="http://schemas.microsoft.com/office/drawing/2014/chart" uri="{C3380CC4-5D6E-409C-BE32-E72D297353CC}">
              <c16:uniqueId val="{00000000-DD55-4245-BAA7-4821F255DD42}"/>
            </c:ext>
          </c:extLst>
        </c:ser>
        <c:ser>
          <c:idx val="1"/>
          <c:order val="1"/>
          <c:tx>
            <c:strRef>
              <c:f>'44'!$C$22</c:f>
              <c:strCache>
                <c:ptCount val="1"/>
                <c:pt idx="0">
                  <c:v>عدد الأبناء
No. of children</c:v>
                </c:pt>
              </c:strCache>
            </c:strRef>
          </c:tx>
          <c:spPr>
            <a:solidFill>
              <a:schemeClr val="accent1"/>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'44'!$A$23:$A$26</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'44'!$C$23:$C$26</c:f>
              <c:numCache>
                <c:formatCode>General</c:formatCode>
                <c:ptCount val="4"/>
                <c:pt idx="0">
                  <c:v>102</c:v>
                </c:pt>
                <c:pt idx="1">
                  <c:v>22</c:v>
                </c:pt>
                <c:pt idx="2">
                  <c:v>3</c:v>
                </c:pt>
                <c:pt idx="3">
                  <c:v>37</c:v>
                </c:pt>
              </c:numCache>
            </c:numRef>
          </c:val>
          <c:extLst xmlns:c16r2="http://schemas.microsoft.com/office/drawing/2015/06/chart">
            <c:ext xmlns:c16="http://schemas.microsoft.com/office/drawing/2014/chart" uri="{C3380CC4-5D6E-409C-BE32-E72D297353CC}">
              <c16:uniqueId val="{00000001-DD55-4245-BAA7-4821F255DD42}"/>
            </c:ext>
          </c:extLst>
        </c:ser>
        <c:dLbls>
          <c:showLegendKey val="0"/>
          <c:showVal val="1"/>
          <c:showCatName val="0"/>
          <c:showSerName val="0"/>
          <c:showPercent val="0"/>
          <c:showBubbleSize val="0"/>
        </c:dLbls>
        <c:gapWidth val="150"/>
        <c:axId val="163744768"/>
        <c:axId val="163746944"/>
      </c:barChart>
      <c:catAx>
        <c:axId val="163744768"/>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rgbClr val="000000"/>
                    </a:solidFill>
                    <a:latin typeface="Calibri"/>
                    <a:ea typeface="Calibri"/>
                    <a:cs typeface="Calibri"/>
                  </a:defRPr>
                </a:pPr>
                <a:r>
                  <a:rPr lang="ar-QA" sz="1200" b="1" i="0" u="none" strike="noStrike" baseline="0">
                    <a:solidFill>
                      <a:srgbClr val="000000"/>
                    </a:solidFill>
                    <a:latin typeface="Calibri"/>
                  </a:rPr>
                  <a:t>الجنسية</a:t>
                </a:r>
                <a:endParaRPr lang="en-US" sz="1200" b="1" i="0" u="none" strike="noStrike" baseline="0">
                  <a:solidFill>
                    <a:srgbClr val="000000"/>
                  </a:solidFill>
                  <a:latin typeface="Calibri"/>
                </a:endParaRPr>
              </a:p>
              <a:p>
                <a:pPr>
                  <a:defRPr sz="1100" b="0" i="0" u="none" strike="noStrike" baseline="0">
                    <a:solidFill>
                      <a:srgbClr val="000000"/>
                    </a:solidFill>
                    <a:latin typeface="Calibri"/>
                    <a:ea typeface="Calibri"/>
                    <a:cs typeface="Calibri"/>
                  </a:defRPr>
                </a:pPr>
                <a:r>
                  <a:rPr lang="en-US" sz="1100" b="1" i="0" u="none" strike="noStrike" baseline="0">
                    <a:effectLst/>
                  </a:rPr>
                  <a:t>Nationality</a:t>
                </a:r>
                <a:endParaRPr lang="ar-QA" sz="1200" b="1" i="0" u="none" strike="noStrike" baseline="0">
                  <a:solidFill>
                    <a:srgbClr val="000000"/>
                  </a:solidFill>
                  <a:latin typeface="Calibri"/>
                </a:endParaRPr>
              </a:p>
            </c:rich>
          </c:tx>
          <c:layout>
            <c:manualLayout>
              <c:xMode val="edge"/>
              <c:yMode val="edge"/>
              <c:x val="0.48107461658422873"/>
              <c:y val="0.9539405574303250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63746944"/>
        <c:crosses val="autoZero"/>
        <c:auto val="1"/>
        <c:lblAlgn val="ctr"/>
        <c:lblOffset val="100"/>
        <c:tickLblSkip val="1"/>
        <c:tickMarkSkip val="1"/>
        <c:noMultiLvlLbl val="0"/>
      </c:catAx>
      <c:valAx>
        <c:axId val="163746944"/>
        <c:scaling>
          <c:orientation val="minMax"/>
        </c:scaling>
        <c:delete val="1"/>
        <c:axPos val="l"/>
        <c:majorGridlines>
          <c:spPr>
            <a:ln w="3175">
              <a:solidFill>
                <a:schemeClr val="bg1">
                  <a:lumMod val="85000"/>
                </a:schemeClr>
              </a:solidFill>
            </a:ln>
          </c:spPr>
        </c:majorGridlines>
        <c:numFmt formatCode="#,##0" sourceLinked="1"/>
        <c:majorTickMark val="out"/>
        <c:minorTickMark val="none"/>
        <c:tickLblPos val="none"/>
        <c:crossAx val="163744768"/>
        <c:crosses val="autoZero"/>
        <c:crossBetween val="between"/>
      </c:valAx>
    </c:plotArea>
    <c:legend>
      <c:legendPos val="r"/>
      <c:layout>
        <c:manualLayout>
          <c:xMode val="edge"/>
          <c:yMode val="edge"/>
          <c:x val="0.29819041149625436"/>
          <c:y val="0.19575053118360206"/>
          <c:w val="0.14543386815408721"/>
          <c:h val="0.20597745281839769"/>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 l="0" r="0" t="0.3937007874015748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معدلات الزواج والطلاق الخام لكل ألف من السكان</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AND DIVORCES CRUDE RATE PER 1000 POPULATION </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2012 - 2021</a:t>
            </a:r>
          </a:p>
        </c:rich>
      </c:tx>
      <c:layout>
        <c:manualLayout>
          <c:xMode val="edge"/>
          <c:yMode val="edge"/>
          <c:x val="0.18980007207483029"/>
          <c:y val="2.7145806774153271E-2"/>
        </c:manualLayout>
      </c:layout>
      <c:overlay val="0"/>
      <c:spPr>
        <a:noFill/>
        <a:ln w="25400">
          <a:noFill/>
        </a:ln>
      </c:spPr>
    </c:title>
    <c:autoTitleDeleted val="0"/>
    <c:plotArea>
      <c:layout>
        <c:manualLayout>
          <c:layoutTarget val="inner"/>
          <c:xMode val="edge"/>
          <c:yMode val="edge"/>
          <c:x val="5.5432177903644901E-2"/>
          <c:y val="0.17966634170729129"/>
          <c:w val="0.92950558579932918"/>
          <c:h val="0.76007539057620199"/>
        </c:manualLayout>
      </c:layout>
      <c:lineChart>
        <c:grouping val="standard"/>
        <c:varyColors val="0"/>
        <c:ser>
          <c:idx val="0"/>
          <c:order val="0"/>
          <c:tx>
            <c:strRef>
              <c:f>'4'!$E$6:$E$7</c:f>
              <c:strCache>
                <c:ptCount val="1"/>
                <c:pt idx="0">
                  <c:v>معدل الطلاق الخام Crude Divorces Rate</c:v>
                </c:pt>
              </c:strCache>
            </c:strRef>
          </c:tx>
          <c:spPr>
            <a:ln w="44450">
              <a:solidFill>
                <a:schemeClr val="accent6">
                  <a:lumMod val="50000"/>
                </a:schemeClr>
              </a:solidFill>
            </a:ln>
          </c:spPr>
          <c:marker>
            <c:symbol val="diamond"/>
            <c:size val="7"/>
            <c:spPr>
              <a:solidFill>
                <a:schemeClr val="accent6">
                  <a:lumMod val="40000"/>
                  <a:lumOff val="60000"/>
                </a:schemeClr>
              </a:solidFill>
              <a:ln>
                <a:solidFill>
                  <a:schemeClr val="accent6">
                    <a:lumMod val="50000"/>
                  </a:schemeClr>
                </a:solidFill>
              </a:ln>
              <a:scene3d>
                <a:camera prst="orthographicFront"/>
                <a:lightRig rig="threePt" dir="t">
                  <a:rot lat="0" lon="0" rev="1200000"/>
                </a:lightRig>
              </a:scene3d>
              <a:sp3d/>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93-41B1-BC72-1FCDDFB4C3C6}"/>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93-41B1-BC72-1FCDDFB4C3C6}"/>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93-41B1-BC72-1FCDDFB4C3C6}"/>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93-41B1-BC72-1FCDDFB4C3C6}"/>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93-41B1-BC72-1FCDDFB4C3C6}"/>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93-41B1-BC72-1FCDDFB4C3C6}"/>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593-41B1-BC72-1FCDDFB4C3C6}"/>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93-41B1-BC72-1FCDDFB4C3C6}"/>
                </c:ext>
              </c:extLst>
            </c:dLbl>
            <c:dLbl>
              <c:idx val="9"/>
              <c:layout>
                <c:manualLayout>
                  <c:x val="-2.8270554880518429E-2"/>
                  <c:y val="-2.222222222222222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593-41B1-BC72-1FCDDFB4C3C6}"/>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'4'!$F$8:$F$17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'4'!$E$8:$E$17</c:f>
              <c:numCache>
                <c:formatCode>0.0</c:formatCode>
                <c:ptCount val="10"/>
                <c:pt idx="0">
                  <c:v>0.8</c:v>
                </c:pt>
                <c:pt idx="1">
                  <c:v>0.7</c:v>
                </c:pt>
                <c:pt idx="2">
                  <c:v>0.6</c:v>
                </c:pt>
                <c:pt idx="3">
                  <c:v>0.53614134113274736</c:v>
                </c:pt>
                <c:pt idx="4">
                  <c:v>0.4397100587782708</c:v>
                </c:pt>
                <c:pt idx="5">
                  <c:v>0.44263280635805691</c:v>
                </c:pt>
                <c:pt idx="6">
                  <c:v>0.42823449280297954</c:v>
                </c:pt>
                <c:pt idx="7">
                  <c:v>0.65482948354566772</c:v>
                </c:pt>
                <c:pt idx="8">
                  <c:v>0.6</c:v>
                </c:pt>
                <c:pt idx="9">
                  <c:v>0.8</c:v>
                </c:pt>
              </c:numCache>
            </c:numRef>
          </c:val>
          <c:smooth val="0"/>
          <c:extLst xmlns:c16r2="http://schemas.microsoft.com/office/drawing/2015/06/chart">
            <c:ext xmlns:c16="http://schemas.microsoft.com/office/drawing/2014/chart" uri="{C3380CC4-5D6E-409C-BE32-E72D297353CC}">
              <c16:uniqueId val="{00000009-8593-41B1-BC72-1FCDDFB4C3C6}"/>
            </c:ext>
          </c:extLst>
        </c:ser>
        <c:ser>
          <c:idx val="1"/>
          <c:order val="1"/>
          <c:tx>
            <c:strRef>
              <c:f>'4'!$C$6:$C$7</c:f>
              <c:strCache>
                <c:ptCount val="1"/>
                <c:pt idx="0">
                  <c:v>معدل الزواج الخام Crude Marriages Rate</c:v>
                </c:pt>
              </c:strCache>
            </c:strRef>
          </c:tx>
          <c:spPr>
            <a:ln w="41275">
              <a:solidFill>
                <a:schemeClr val="accent5">
                  <a:lumMod val="75000"/>
                </a:schemeClr>
              </a:solidFill>
            </a:ln>
          </c:spPr>
          <c:marker>
            <c:symbol val="triangle"/>
            <c:size val="6"/>
            <c:spPr>
              <a:solidFill>
                <a:schemeClr val="accent5">
                  <a:lumMod val="20000"/>
                  <a:lumOff val="80000"/>
                </a:schemeClr>
              </a:solidFill>
              <a:ln>
                <a:solidFill>
                  <a:schemeClr val="accent5">
                    <a:lumMod val="75000"/>
                  </a:schemeClr>
                </a:solidFill>
              </a:ln>
              <a:scene3d>
                <a:camera prst="orthographicFront"/>
                <a:lightRig rig="threePt" dir="t">
                  <a:rot lat="0" lon="0" rev="1200000"/>
                </a:lightRig>
              </a:scene3d>
              <a:sp3d/>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593-41B1-BC72-1FCDDFB4C3C6}"/>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593-41B1-BC72-1FCDDFB4C3C6}"/>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593-41B1-BC72-1FCDDFB4C3C6}"/>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593-41B1-BC72-1FCDDFB4C3C6}"/>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593-41B1-BC72-1FCDDFB4C3C6}"/>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593-41B1-BC72-1FCDDFB4C3C6}"/>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593-41B1-BC72-1FCDDFB4C3C6}"/>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593-41B1-BC72-1FCDDFB4C3C6}"/>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'4'!$F$8:$F$17</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'4'!$C$8:$C$17</c:f>
              <c:numCache>
                <c:formatCode>0.0</c:formatCode>
                <c:ptCount val="10"/>
                <c:pt idx="0">
                  <c:v>1.9</c:v>
                </c:pt>
                <c:pt idx="1">
                  <c:v>1.8</c:v>
                </c:pt>
                <c:pt idx="2">
                  <c:v>1.7</c:v>
                </c:pt>
                <c:pt idx="3">
                  <c:v>1.5276131250025637</c:v>
                </c:pt>
                <c:pt idx="4">
                  <c:v>1.4631533667426386</c:v>
                </c:pt>
                <c:pt idx="5">
                  <c:v>1.3646009734985536</c:v>
                </c:pt>
                <c:pt idx="6">
                  <c:v>1.3615103417543122</c:v>
                </c:pt>
                <c:pt idx="7">
                  <c:v>1.2935829568569901</c:v>
                </c:pt>
                <c:pt idx="8">
                  <c:v>1.5</c:v>
                </c:pt>
                <c:pt idx="9">
                  <c:v>1.6</c:v>
                </c:pt>
              </c:numCache>
            </c:numRef>
          </c:val>
          <c:smooth val="0"/>
          <c:extLst xmlns:c16r2="http://schemas.microsoft.com/office/drawing/2015/06/chart">
            <c:ext xmlns:c16="http://schemas.microsoft.com/office/drawing/2014/chart" uri="{C3380CC4-5D6E-409C-BE32-E72D297353CC}">
              <c16:uniqueId val="{00000012-8593-41B1-BC72-1FCDDFB4C3C6}"/>
            </c:ext>
          </c:extLst>
        </c:ser>
        <c:dLbls>
          <c:showLegendKey val="0"/>
          <c:showVal val="1"/>
          <c:showCatName val="0"/>
          <c:showSerName val="0"/>
          <c:showPercent val="0"/>
          <c:showBubbleSize val="0"/>
        </c:dLbls>
        <c:marker val="1"/>
        <c:smooth val="0"/>
        <c:axId val="146224256"/>
        <c:axId val="146225792"/>
      </c:lineChart>
      <c:catAx>
        <c:axId val="146224256"/>
        <c:scaling>
          <c:orientation val="minMax"/>
        </c:scaling>
        <c:delete val="0"/>
        <c:axPos val="b"/>
        <c:majorGridlines>
          <c:spPr>
            <a:ln w="3175">
              <a:solidFill>
                <a:schemeClr val="bg1"/>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6225792"/>
        <c:crosses val="autoZero"/>
        <c:auto val="1"/>
        <c:lblAlgn val="ctr"/>
        <c:lblOffset val="100"/>
        <c:tickLblSkip val="1"/>
        <c:tickMarkSkip val="1"/>
        <c:noMultiLvlLbl val="0"/>
      </c:catAx>
      <c:valAx>
        <c:axId val="146225792"/>
        <c:scaling>
          <c:orientation val="minMax"/>
        </c:scaling>
        <c:delete val="0"/>
        <c:axPos val="l"/>
        <c:majorGridlines>
          <c:spPr>
            <a:ln w="3175">
              <a:solidFill>
                <a:schemeClr val="bg1"/>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Calibri"/>
                  </a:rPr>
                  <a:t>المعدل</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Rate</a:t>
                </a:r>
              </a:p>
            </c:rich>
          </c:tx>
          <c:layout>
            <c:manualLayout>
              <c:xMode val="edge"/>
              <c:yMode val="edge"/>
              <c:x val="1.891906889524593E-2"/>
              <c:y val="7.2173178352705911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46224256"/>
        <c:crosses val="autoZero"/>
        <c:crossBetween val="between"/>
      </c:valAx>
      <c:spPr>
        <a:solidFill>
          <a:srgbClr val="EEEEEE"/>
        </a:solidFill>
      </c:spPr>
    </c:plotArea>
    <c:legend>
      <c:legendPos val="r"/>
      <c:layout>
        <c:manualLayout>
          <c:xMode val="edge"/>
          <c:yMode val="edge"/>
          <c:x val="0.455339054671629"/>
          <c:y val="0.20082989626296713"/>
          <c:w val="0.44962855949203184"/>
          <c:h val="0.11649183852018498"/>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الــزواج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2012 - 2021</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9.2697438243948327E-2"/>
          <c:y val="0.19531679294805129"/>
          <c:w val="0.90444198712449064"/>
          <c:h val="0.7190658148863468"/>
        </c:manualLayout>
      </c:layout>
      <c:lineChart>
        <c:grouping val="standard"/>
        <c:varyColors val="0"/>
        <c:ser>
          <c:idx val="1"/>
          <c:order val="0"/>
          <c:tx>
            <c:strRef>
              <c:f>'5'!$L$7:$M$7</c:f>
              <c:strCache>
                <c:ptCount val="1"/>
                <c:pt idx="0">
                  <c:v>الإناث Females</c:v>
                </c:pt>
              </c:strCache>
            </c:strRef>
          </c:tx>
          <c:marker>
            <c:symbol val="triangle"/>
            <c:size val="6"/>
            <c:spPr>
              <a:solidFill>
                <a:schemeClr val="accent2">
                  <a:lumMod val="20000"/>
                  <a:lumOff val="80000"/>
                </a:schemeClr>
              </a:solidFill>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0CE-40B6-9605-B3A83186EE2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0CE-40B6-9605-B3A83186EE2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0CE-40B6-9605-B3A83186EE2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0CE-40B6-9605-B3A83186EE2D}"/>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0CE-40B6-9605-B3A83186EE2D}"/>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0CE-40B6-9605-B3A83186EE2D}"/>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0CE-40B6-9605-B3A83186EE2D}"/>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0CE-40B6-9605-B3A83186EE2D}"/>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'5'!$N$9:$N$18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'5'!$M$9:$M$18</c:f>
              <c:numCache>
                <c:formatCode>0.0</c:formatCode>
                <c:ptCount val="10"/>
                <c:pt idx="0">
                  <c:v>10.3</c:v>
                </c:pt>
                <c:pt idx="1">
                  <c:v>9.5</c:v>
                </c:pt>
                <c:pt idx="2">
                  <c:v>9.0270048476539362</c:v>
                </c:pt>
                <c:pt idx="3">
                  <c:v>8.4345650696175323</c:v>
                </c:pt>
                <c:pt idx="4">
                  <c:v>8.2038671701799064</c:v>
                </c:pt>
                <c:pt idx="5">
                  <c:v>7.5201352734392382</c:v>
                </c:pt>
                <c:pt idx="6">
                  <c:v>7.2</c:v>
                </c:pt>
                <c:pt idx="7">
                  <c:v>6.7099791714537735</c:v>
                </c:pt>
                <c:pt idx="8">
                  <c:v>7.2</c:v>
                </c:pt>
                <c:pt idx="9">
                  <c:v>7.3</c:v>
                </c:pt>
              </c:numCache>
            </c:numRef>
          </c:val>
          <c:smooth val="0"/>
          <c:extLst xmlns:c16r2="http://schemas.microsoft.com/office/drawing/2015/06/chart">
            <c:ext xmlns:c16="http://schemas.microsoft.com/office/drawing/2014/chart" uri="{C3380CC4-5D6E-409C-BE32-E72D297353CC}">
              <c16:uniqueId val="{00000008-90CE-40B6-9605-B3A83186EE2D}"/>
            </c:ext>
          </c:extLst>
        </c:ser>
        <c:ser>
          <c:idx val="0"/>
          <c:order val="1"/>
          <c:tx>
            <c:strRef>
              <c:f>'5'!$J$7:$K$7</c:f>
              <c:strCache>
                <c:ptCount val="1"/>
                <c:pt idx="0">
                  <c:v>الذكور Males</c:v>
                </c:pt>
              </c:strCache>
            </c:strRef>
          </c:tx>
          <c:marker>
            <c:spPr>
              <a:solidFill>
                <a:schemeClr val="accent1">
                  <a:lumMod val="20000"/>
                  <a:lumOff val="80000"/>
                </a:schemeClr>
              </a:solidFill>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0CE-40B6-9605-B3A83186EE2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0CE-40B6-9605-B3A83186EE2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0CE-40B6-9605-B3A83186EE2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0CE-40B6-9605-B3A83186EE2D}"/>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0CE-40B6-9605-B3A83186EE2D}"/>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0CE-40B6-9605-B3A83186EE2D}"/>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0CE-40B6-9605-B3A83186EE2D}"/>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0CE-40B6-9605-B3A83186EE2D}"/>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'5'!$N$9:$N$18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'5'!$K$9:$K$18</c:f>
              <c:numCache>
                <c:formatCode>0.0</c:formatCode>
                <c:ptCount val="10"/>
                <c:pt idx="0">
                  <c:v>2.9</c:v>
                </c:pt>
                <c:pt idx="1">
                  <c:v>2.7</c:v>
                </c:pt>
                <c:pt idx="2">
                  <c:v>2.4706800086077036</c:v>
                </c:pt>
                <c:pt idx="3">
                  <c:v>2.232762491988376</c:v>
                </c:pt>
                <c:pt idx="4">
                  <c:v>2.1362348943651366</c:v>
                </c:pt>
                <c:pt idx="5">
                  <c:v>2.0012487620031862</c:v>
                </c:pt>
                <c:pt idx="6">
                  <c:v>2</c:v>
                </c:pt>
                <c:pt idx="7">
                  <c:v>1.9455995116926716</c:v>
                </c:pt>
                <c:pt idx="8">
                  <c:v>2.4</c:v>
                </c:pt>
                <c:pt idx="9">
                  <c:v>2.5</c:v>
                </c:pt>
              </c:numCache>
            </c:numRef>
          </c:val>
          <c:smooth val="0"/>
          <c:extLst xmlns:c16r2="http://schemas.microsoft.com/office/drawing/2015/06/chart">
            <c:ext xmlns:c16="http://schemas.microsoft.com/office/drawing/2014/chart" uri="{C3380CC4-5D6E-409C-BE32-E72D297353CC}">
              <c16:uniqueId val="{00000011-90CE-40B6-9605-B3A83186EE2D}"/>
            </c:ext>
          </c:extLst>
        </c:ser>
        <c:dLbls>
          <c:showLegendKey val="0"/>
          <c:showVal val="1"/>
          <c:showCatName val="0"/>
          <c:showSerName val="0"/>
          <c:showPercent val="0"/>
          <c:showBubbleSize val="0"/>
        </c:dLbls>
        <c:marker val="1"/>
        <c:smooth val="0"/>
        <c:axId val="153073152"/>
        <c:axId val="153074688"/>
      </c:lineChart>
      <c:catAx>
        <c:axId val="153073152"/>
        <c:scaling>
          <c:orientation val="minMax"/>
        </c:scaling>
        <c:delete val="0"/>
        <c:axPos val="b"/>
        <c:majorGridlines>
          <c:spPr>
            <a:ln w="3175">
              <a:solidFill>
                <a:schemeClr val="bg1"/>
              </a:solidFill>
              <a:prstDash val="sysDot"/>
            </a:ln>
          </c:spPr>
        </c:majorGridlines>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3074688"/>
        <c:crosses val="autoZero"/>
        <c:auto val="1"/>
        <c:lblAlgn val="ctr"/>
        <c:lblOffset val="100"/>
        <c:tickLblSkip val="1"/>
        <c:tickMarkSkip val="1"/>
        <c:noMultiLvlLbl val="0"/>
      </c:catAx>
      <c:valAx>
        <c:axId val="153074688"/>
        <c:scaling>
          <c:orientation val="minMax"/>
        </c:scaling>
        <c:delete val="0"/>
        <c:axPos val="l"/>
        <c:majorGridlines>
          <c:spPr>
            <a:ln w="3175">
              <a:solidFill>
                <a:schemeClr val="bg1"/>
              </a:solidFill>
            </a:ln>
          </c:spPr>
        </c:majorGridlines>
        <c:title>
          <c:tx>
            <c:rich>
              <a:bodyPr rot="0" vert="horz"/>
              <a:lstStyle/>
              <a:p>
                <a:pPr algn="ctr">
                  <a:defRPr sz="1000" b="1" i="0" u="none" strike="noStrike" baseline="0">
                    <a:solidFill>
                      <a:schemeClr val="tx2"/>
                    </a:solidFill>
                    <a:latin typeface="Calibri"/>
                    <a:ea typeface="Calibri"/>
                    <a:cs typeface="Calibri"/>
                  </a:defRPr>
                </a:pPr>
                <a:r>
                  <a:rPr lang="ar-QA" sz="1000" b="1" i="0" u="none" strike="noStrike" baseline="0">
                    <a:solidFill>
                      <a:schemeClr val="tx2"/>
                    </a:solidFill>
                    <a:latin typeface="Arial"/>
                    <a:cs typeface="Arial"/>
                  </a:rPr>
                  <a:t>المعدل</a:t>
                </a:r>
              </a:p>
              <a:p>
                <a:pPr algn="ctr">
                  <a:defRPr sz="1000" b="1" i="0" u="none" strike="noStrike" baseline="0">
                    <a:solidFill>
                      <a:schemeClr val="tx2"/>
                    </a:solidFill>
                    <a:latin typeface="Calibri"/>
                    <a:ea typeface="Calibri"/>
                    <a:cs typeface="Calibri"/>
                  </a:defRPr>
                </a:pPr>
                <a:r>
                  <a:rPr lang="en-US" sz="1000" b="1" i="0" u="none" strike="noStrike" baseline="0">
                    <a:solidFill>
                      <a:schemeClr val="tx2"/>
                    </a:solidFill>
                    <a:latin typeface="Arial"/>
                    <a:cs typeface="Arial"/>
                  </a:rPr>
                  <a:t>Rate</a:t>
                </a:r>
              </a:p>
            </c:rich>
          </c:tx>
          <c:layout>
            <c:manualLayout>
              <c:xMode val="edge"/>
              <c:yMode val="edge"/>
              <c:x val="3.2423913112555852E-2"/>
              <c:y val="8.9631654533749314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3073152"/>
        <c:crosses val="autoZero"/>
        <c:crossBetween val="between"/>
      </c:valAx>
      <c:spPr>
        <a:solidFill>
          <a:srgbClr val="EEEEEE"/>
        </a:solidFill>
        <a:ln w="25400">
          <a:noFill/>
        </a:ln>
      </c:spPr>
    </c:plotArea>
    <c:legend>
      <c:legendPos val="r"/>
      <c:layout>
        <c:manualLayout>
          <c:xMode val="edge"/>
          <c:yMode val="edge"/>
          <c:x val="0.63517962797023253"/>
          <c:y val="0.13453969197246571"/>
          <c:w val="0.34975780569801657"/>
          <c:h val="6.1765562323577466E-2"/>
        </c:manualLayout>
      </c:layout>
      <c:overlay val="0"/>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66" l="0.70000000000000062" r="0.70000000000000062" t="0.75000000000001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جنسية 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NATIONALITY OF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28377132138879668"/>
          <c:y val="1.8203974503187236E-3"/>
        </c:manualLayout>
      </c:layout>
      <c:overlay val="0"/>
      <c:spPr>
        <a:noFill/>
        <a:ln w="25400">
          <a:noFill/>
        </a:ln>
      </c:spPr>
    </c:title>
    <c:autoTitleDeleted val="0"/>
    <c:plotArea>
      <c:layout>
        <c:manualLayout>
          <c:layoutTarget val="inner"/>
          <c:xMode val="edge"/>
          <c:yMode val="edge"/>
          <c:x val="0.27343135679468633"/>
          <c:y val="0.26989783301880654"/>
          <c:w val="0.44495639657946662"/>
          <c:h val="0.71157709452985063"/>
        </c:manualLayout>
      </c:layout>
      <c:pieChart>
        <c:varyColors val="1"/>
        <c:ser>
          <c:idx val="0"/>
          <c:order val="0"/>
          <c:spPr>
            <a:scene3d>
              <a:camera prst="orthographicFront"/>
              <a:lightRig rig="threePt" dir="t"/>
            </a:scene3d>
            <a:sp3d>
              <a:contourClr>
                <a:srgbClr val="000000"/>
              </a:contourClr>
            </a:sp3d>
          </c:spPr>
          <c:dPt>
            <c:idx val="0"/>
            <c:bubble3D val="0"/>
            <c:spPr>
              <a:solidFill>
                <a:srgbClr val="993366"/>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1-79B6-4670-BEB9-874E7DD736BD}"/>
              </c:ext>
            </c:extLst>
          </c:dPt>
          <c:dPt>
            <c:idx val="1"/>
            <c:bubble3D val="0"/>
            <c:spPr>
              <a:solidFill>
                <a:schemeClr val="tx2">
                  <a:lumMod val="20000"/>
                  <a:lumOff val="80000"/>
                </a:schemeClr>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3-79B6-4670-BEB9-874E7DD736BD}"/>
              </c:ext>
            </c:extLst>
          </c:dPt>
          <c:dPt>
            <c:idx val="4"/>
            <c:bubble3D val="0"/>
            <c:spPr>
              <a:solidFill>
                <a:srgbClr val="FFFF00"/>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5-79B6-4670-BEB9-874E7DD736BD}"/>
              </c:ext>
            </c:extLst>
          </c:dPt>
          <c:dPt>
            <c:idx val="5"/>
            <c:bubble3D val="0"/>
            <c:spPr>
              <a:solidFill>
                <a:schemeClr val="accent6"/>
              </a:solidFill>
              <a:scene3d>
                <a:camera prst="orthographicFront"/>
                <a:lightRig rig="threePt" dir="t"/>
              </a:scene3d>
              <a:sp3d>
                <a:contourClr>
                  <a:srgbClr val="000000"/>
                </a:contourClr>
              </a:sp3d>
            </c:spPr>
            <c:extLst xmlns:c16r2="http://schemas.microsoft.com/office/drawing/2015/06/chart">
              <c:ext xmlns:c16="http://schemas.microsoft.com/office/drawing/2014/chart" uri="{C3380CC4-5D6E-409C-BE32-E72D297353CC}">
                <c16:uniqueId val="{00000007-79B6-4670-BEB9-874E7DD736BD}"/>
              </c:ext>
            </c:extLst>
          </c:dPt>
          <c:dLbls>
            <c:dLbl>
              <c:idx val="0"/>
              <c:layout>
                <c:manualLayout>
                  <c:x val="0.13891131474570734"/>
                  <c:y val="-0.12735220597425317"/>
                </c:manualLayout>
              </c:layout>
              <c:numFmt formatCode="0.0%" sourceLinked="0"/>
              <c:spPr>
                <a:noFill/>
                <a:ln w="25400">
                  <a:noFill/>
                </a:ln>
              </c:spPr>
              <c:txPr>
                <a:bodyPr/>
                <a:lstStyle/>
                <a:p>
                  <a:pPr>
                    <a:defRPr sz="1000" b="1" i="0" u="none" strike="noStrike" baseline="0">
                      <a:solidFill>
                        <a:srgbClr val="FFFFFF"/>
                      </a:solidFill>
                      <a:latin typeface="Arial"/>
                      <a:ea typeface="Arial"/>
                      <a:cs typeface="Arial"/>
                    </a:defRPr>
                  </a:pPr>
                  <a:endParaRPr lang="en-US"/>
                </a:p>
              </c:txPr>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9B6-4670-BEB9-874E7DD736BD}"/>
                </c:ext>
              </c:extLst>
            </c:dLbl>
            <c:dLbl>
              <c:idx val="1"/>
              <c:layout>
                <c:manualLayout>
                  <c:x val="-8.2816409735383567E-2"/>
                  <c:y val="1.90040828229804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B6-4670-BEB9-874E7DD736BD}"/>
                </c:ext>
              </c:extLst>
            </c:dLbl>
            <c:dLbl>
              <c:idx val="2"/>
              <c:layout>
                <c:manualLayout>
                  <c:x val="1.3188487915437477E-3"/>
                  <c:y val="1.146752489272181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9B6-4670-BEB9-874E7DD736BD}"/>
                </c:ext>
              </c:extLst>
            </c:dLbl>
            <c:dLbl>
              <c:idx val="3"/>
              <c:layout>
                <c:manualLayout>
                  <c:x val="1.2742749588063281E-2"/>
                  <c:y val="-6.8645377661125689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9B6-4670-BEB9-874E7DD736BD}"/>
                </c:ext>
              </c:extLst>
            </c:dLbl>
            <c:dLbl>
              <c:idx val="4"/>
              <c:layout>
                <c:manualLayout>
                  <c:x val="3.8458282044769219E-2"/>
                  <c:y val="-6.0240803232929206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B6-4670-BEB9-874E7DD736BD}"/>
                </c:ext>
              </c:extLst>
            </c:dLbl>
            <c:dLbl>
              <c:idx val="5"/>
              <c:layout>
                <c:manualLayout>
                  <c:x val="-4.8582481780348588E-2"/>
                  <c:y val="3.1975378077740597E-2"/>
                </c:manualLayout>
              </c:layout>
              <c:dLblPos val="bestFit"/>
              <c:showLegendKey val="0"/>
              <c:showVal val="0"/>
              <c:showCatName val="1"/>
              <c:showSerName val="0"/>
              <c:showPercent val="1"/>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9B6-4670-BEB9-874E7DD736BD}"/>
                </c:ext>
              </c:extLst>
            </c:dLbl>
            <c:numFmt formatCode="0.0%" sourceLinked="0"/>
            <c:spPr>
              <a:noFill/>
              <a:ln w="25400">
                <a:noFill/>
              </a:ln>
            </c:spPr>
            <c:txPr>
              <a:bodyPr/>
              <a:lstStyle/>
              <a:p>
                <a:pPr>
                  <a:defRPr sz="1000" b="1" i="0" u="none" strike="noStrike" baseline="0">
                    <a:solidFill>
                      <a:srgbClr val="000000"/>
                    </a:solidFill>
                    <a:latin typeface="Arial"/>
                    <a:ea typeface="Arial"/>
                    <a:cs typeface="Arial"/>
                  </a:defRPr>
                </a:pPr>
                <a:endParaRPr lang="en-US"/>
              </a:p>
            </c:txPr>
            <c:dLblPos val="bestFit"/>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'8'!$A$20:$A$25</c:f>
              <c:strCache>
                <c:ptCount val="6"/>
                <c:pt idx="0">
                  <c:v>قطر
Qatar</c:v>
                </c:pt>
                <c:pt idx="1">
                  <c:v>بقية دول مجلس التعاون
Other G.C.C. Countries</c:v>
                </c:pt>
                <c:pt idx="2">
                  <c:v>باقي الدول العربية
Other Arabs Countries</c:v>
                </c:pt>
                <c:pt idx="3">
                  <c:v>دول أسيوية
Asian Countries</c:v>
                </c:pt>
                <c:pt idx="4">
                  <c:v>دول أوروبية
Europen Countries</c:v>
                </c:pt>
                <c:pt idx="5">
                  <c:v>دول أخرى
Other Countries</c:v>
                </c:pt>
              </c:strCache>
            </c:strRef>
          </c:cat>
          <c:val>
            <c:numRef>
              <c:f>'8'!$I$8:$I$13</c:f>
              <c:numCache>
                <c:formatCode>0.0</c:formatCode>
                <c:ptCount val="6"/>
                <c:pt idx="0">
                  <c:v>55.33029612756264</c:v>
                </c:pt>
                <c:pt idx="1">
                  <c:v>2.369020501138952</c:v>
                </c:pt>
                <c:pt idx="2">
                  <c:v>26.355353075170846</c:v>
                </c:pt>
                <c:pt idx="3">
                  <c:v>12.96127562642369</c:v>
                </c:pt>
                <c:pt idx="4">
                  <c:v>1.184510250569476</c:v>
                </c:pt>
                <c:pt idx="5">
                  <c:v>1.7995444191343963</c:v>
                </c:pt>
              </c:numCache>
            </c:numRef>
          </c:val>
          <c:extLst xmlns:c16r2="http://schemas.microsoft.com/office/drawing/2015/06/chart">
            <c:ext xmlns:c16="http://schemas.microsoft.com/office/drawing/2014/chart" uri="{C3380CC4-5D6E-409C-BE32-E72D297353CC}">
              <c16:uniqueId val="{0000000A-79B6-4670-BEB9-874E7DD736BD}"/>
            </c:ext>
          </c:extLst>
        </c:ser>
        <c:dLbls>
          <c:showLegendKey val="0"/>
          <c:showVal val="0"/>
          <c:showCatName val="1"/>
          <c:showSerName val="0"/>
          <c:showPercent val="1"/>
          <c:showBubbleSize val="0"/>
          <c:showLeaderLines val="1"/>
        </c:dLbls>
        <c:firstSliceAng val="131"/>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المسجلة حسب الحالة التعليمية للزوجة والزوج</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EDUCATIONAL STATUS OF WIFE AND HUSBAND</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21681938062826953"/>
          <c:y val="1.5811419798940247E-2"/>
        </c:manualLayout>
      </c:layout>
      <c:overlay val="0"/>
      <c:spPr>
        <a:noFill/>
        <a:ln w="25400">
          <a:noFill/>
        </a:ln>
      </c:spPr>
    </c:title>
    <c:autoTitleDeleted val="0"/>
    <c:plotArea>
      <c:layout>
        <c:manualLayout>
          <c:layoutTarget val="inner"/>
          <c:xMode val="edge"/>
          <c:yMode val="edge"/>
          <c:x val="6.7886726023653823E-2"/>
          <c:y val="0.24059981181597584"/>
          <c:w val="0.93211327397634614"/>
          <c:h val="0.58070103501213288"/>
        </c:manualLayout>
      </c:layout>
      <c:barChart>
        <c:barDir val="col"/>
        <c:grouping val="clustered"/>
        <c:varyColors val="0"/>
        <c:ser>
          <c:idx val="0"/>
          <c:order val="0"/>
          <c:tx>
            <c:strRef>
              <c:f>'16-3'!$B$25</c:f>
              <c:strCache>
                <c:ptCount val="1"/>
                <c:pt idx="0">
                  <c:v>الزوج Husband</c:v>
                </c:pt>
              </c:strCache>
            </c:strRef>
          </c:tx>
          <c:spPr>
            <a:solidFill>
              <a:schemeClr val="accent1"/>
            </a:solidFill>
            <a:scene3d>
              <a:camera prst="orthographicFront"/>
              <a:lightRig rig="threePt" dir="t"/>
            </a:scene3d>
            <a:sp3d/>
          </c:spPr>
          <c:invertIfNegative val="0"/>
          <c:dLbls>
            <c:dLbl>
              <c:idx val="4"/>
              <c:layout>
                <c:manualLayout>
                  <c:x val="-4.8426150121065378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CE6-4BB5-BB7C-C29F2DF3803C}"/>
                </c:ext>
              </c:extLst>
            </c:dLbl>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'16-3'!$B$26:$B$33</c:f>
              <c:numCache>
                <c:formatCode>#,##0</c:formatCode>
                <c:ptCount val="8"/>
                <c:pt idx="0">
                  <c:v>4</c:v>
                </c:pt>
                <c:pt idx="1">
                  <c:v>19</c:v>
                </c:pt>
                <c:pt idx="2">
                  <c:v>134</c:v>
                </c:pt>
                <c:pt idx="3">
                  <c:v>384</c:v>
                </c:pt>
                <c:pt idx="4">
                  <c:v>1357</c:v>
                </c:pt>
                <c:pt idx="5">
                  <c:v>184</c:v>
                </c:pt>
                <c:pt idx="6">
                  <c:v>2295</c:v>
                </c:pt>
                <c:pt idx="7">
                  <c:v>13</c:v>
                </c:pt>
              </c:numCache>
            </c:numRef>
          </c:val>
          <c:extLst xmlns:c16r2="http://schemas.microsoft.com/office/drawing/2015/06/chart">
            <c:ext xmlns:c16="http://schemas.microsoft.com/office/drawing/2014/chart" uri="{C3380CC4-5D6E-409C-BE32-E72D297353CC}">
              <c16:uniqueId val="{00000001-1CE6-4BB5-BB7C-C29F2DF3803C}"/>
            </c:ext>
          </c:extLst>
        </c:ser>
        <c:ser>
          <c:idx val="1"/>
          <c:order val="1"/>
          <c:tx>
            <c:strRef>
              <c:f>'16-3'!$C$25</c:f>
              <c:strCache>
                <c:ptCount val="1"/>
                <c:pt idx="0">
                  <c:v>الزوجة Wife</c:v>
                </c:pt>
              </c:strCache>
            </c:strRef>
          </c:tx>
          <c:spPr>
            <a:solidFill>
              <a:schemeClr val="accent2"/>
            </a:solidFill>
            <a:scene3d>
              <a:camera prst="orthographicFront"/>
              <a:lightRig rig="threePt" dir="t"/>
            </a:scene3d>
            <a:sp3d/>
          </c:spPr>
          <c:invertIfNegative val="0"/>
          <c:dLbls>
            <c:dLbl>
              <c:idx val="4"/>
              <c:layout>
                <c:manualLayout>
                  <c:x val="0"/>
                  <c:y val="-5.0314465408805029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CE6-4BB5-BB7C-C29F2DF3803C}"/>
                </c:ext>
              </c:extLst>
            </c:dLbl>
            <c:dLbl>
              <c:idx val="6"/>
              <c:layout>
                <c:manualLayout>
                  <c:x val="4.8426150121064189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CE6-4BB5-BB7C-C29F2DF3803C}"/>
                </c:ext>
              </c:extLst>
            </c:dLbl>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'16-3'!$A$26:$A$33</c:f>
              <c:strCache>
                <c:ptCount val="8"/>
                <c:pt idx="0">
                  <c:v>أمي
Illiterate</c:v>
                </c:pt>
                <c:pt idx="1">
                  <c:v>يقرأ ويكتب
Read and Write</c:v>
                </c:pt>
                <c:pt idx="2">
                  <c:v>إبتدائي
Primary</c:v>
                </c:pt>
                <c:pt idx="3">
                  <c:v>إعدادي
Preparatory</c:v>
                </c:pt>
                <c:pt idx="4">
                  <c:v>ثانوي
Secondary</c:v>
                </c:pt>
                <c:pt idx="5">
                  <c:v>دبلوم فوق الثانوي
Post Secondary</c:v>
                </c:pt>
                <c:pt idx="6">
                  <c:v>جامعي فما فوق
Univ &amp; Above</c:v>
                </c:pt>
                <c:pt idx="7">
                  <c:v>غير مبين
Not Stated</c:v>
                </c:pt>
              </c:strCache>
            </c:strRef>
          </c:cat>
          <c:val>
            <c:numRef>
              <c:f>'16-3'!$C$26:$C$33</c:f>
              <c:numCache>
                <c:formatCode>General</c:formatCode>
                <c:ptCount val="8"/>
                <c:pt idx="0">
                  <c:v>6</c:v>
                </c:pt>
                <c:pt idx="1">
                  <c:v>18</c:v>
                </c:pt>
                <c:pt idx="2">
                  <c:v>87</c:v>
                </c:pt>
                <c:pt idx="3">
                  <c:v>261</c:v>
                </c:pt>
                <c:pt idx="4">
                  <c:v>1917</c:v>
                </c:pt>
                <c:pt idx="5">
                  <c:v>100</c:v>
                </c:pt>
                <c:pt idx="6">
                  <c:v>1980</c:v>
                </c:pt>
                <c:pt idx="7">
                  <c:v>21</c:v>
                </c:pt>
              </c:numCache>
            </c:numRef>
          </c:val>
          <c:extLst xmlns:c16r2="http://schemas.microsoft.com/office/drawing/2015/06/chart">
            <c:ext xmlns:c16="http://schemas.microsoft.com/office/drawing/2014/chart" uri="{C3380CC4-5D6E-409C-BE32-E72D297353CC}">
              <c16:uniqueId val="{00000004-1CE6-4BB5-BB7C-C29F2DF3803C}"/>
            </c:ext>
          </c:extLst>
        </c:ser>
        <c:dLbls>
          <c:showLegendKey val="0"/>
          <c:showVal val="1"/>
          <c:showCatName val="0"/>
          <c:showSerName val="0"/>
          <c:showPercent val="0"/>
          <c:showBubbleSize val="0"/>
        </c:dLbls>
        <c:gapWidth val="150"/>
        <c:axId val="155267072"/>
        <c:axId val="155268992"/>
      </c:barChart>
      <c:catAx>
        <c:axId val="155267072"/>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الحالة التعلمية</a:t>
                </a:r>
              </a:p>
              <a:p>
                <a:pPr>
                  <a:defRPr sz="1100" b="0" i="0" u="none" strike="noStrike" baseline="0">
                    <a:solidFill>
                      <a:schemeClr val="accent1"/>
                    </a:solidFill>
                    <a:latin typeface="Calibri"/>
                    <a:ea typeface="Calibri"/>
                    <a:cs typeface="Calibri"/>
                  </a:defRPr>
                </a:pPr>
                <a:r>
                  <a:rPr lang="ar-QA" sz="1200" b="1" i="0" u="none" strike="noStrike" baseline="0">
                    <a:solidFill>
                      <a:schemeClr val="accent1"/>
                    </a:solidFill>
                    <a:latin typeface="Arial"/>
                    <a:cs typeface="Arial"/>
                  </a:rPr>
                  <a:t> </a:t>
                </a:r>
                <a:r>
                  <a:rPr lang="en-US" sz="1200" b="1" i="0" u="none" strike="noStrike" baseline="0">
                    <a:solidFill>
                      <a:schemeClr val="accent1"/>
                    </a:solidFill>
                    <a:latin typeface="Arial"/>
                    <a:cs typeface="Arial"/>
                  </a:rPr>
                  <a:t>Educational Status</a:t>
                </a:r>
              </a:p>
            </c:rich>
          </c:tx>
          <c:layout>
            <c:manualLayout>
              <c:xMode val="edge"/>
              <c:yMode val="edge"/>
              <c:x val="0.44580605390427885"/>
              <c:y val="0.91753815678700534"/>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chemeClr val="tx1"/>
                </a:solidFill>
                <a:latin typeface="Arial"/>
                <a:ea typeface="Arial"/>
                <a:cs typeface="Arial"/>
              </a:defRPr>
            </a:pPr>
            <a:endParaRPr lang="en-US"/>
          </a:p>
        </c:txPr>
        <c:crossAx val="155268992"/>
        <c:crosses val="autoZero"/>
        <c:auto val="1"/>
        <c:lblAlgn val="ctr"/>
        <c:lblOffset val="100"/>
        <c:tickLblSkip val="1"/>
        <c:tickMarkSkip val="1"/>
        <c:noMultiLvlLbl val="0"/>
      </c:catAx>
      <c:valAx>
        <c:axId val="155268992"/>
        <c:scaling>
          <c:orientation val="minMax"/>
        </c:scaling>
        <c:delete val="0"/>
        <c:axPos val="l"/>
        <c:majorGridlines>
          <c:spPr>
            <a:ln w="3175">
              <a:solidFill>
                <a:schemeClr val="bg1">
                  <a:lumMod val="85000"/>
                </a:schemeClr>
              </a:solidFill>
            </a:ln>
          </c:spPr>
        </c:majorGridlines>
        <c:title>
          <c:tx>
            <c:rich>
              <a:bodyPr rot="0" vert="horz"/>
              <a:lstStyle/>
              <a:p>
                <a:pPr>
                  <a:defRPr/>
                </a:pPr>
                <a:r>
                  <a:rPr lang="ar-QA" b="1">
                    <a:solidFill>
                      <a:schemeClr val="tx2"/>
                    </a:solidFill>
                  </a:rPr>
                  <a:t>العدد</a:t>
                </a:r>
              </a:p>
              <a:p>
                <a:pPr>
                  <a:defRPr/>
                </a:pPr>
                <a:r>
                  <a:rPr lang="en-US" b="1">
                    <a:solidFill>
                      <a:schemeClr val="tx2"/>
                    </a:solidFill>
                  </a:rPr>
                  <a:t>Number</a:t>
                </a:r>
              </a:p>
            </c:rich>
          </c:tx>
          <c:layout>
            <c:manualLayout>
              <c:xMode val="edge"/>
              <c:yMode val="edge"/>
              <c:x val="1.9370460048426151E-2"/>
              <c:y val="0.15584965086911309"/>
            </c:manualLayout>
          </c:layout>
          <c:overlay val="0"/>
        </c:title>
        <c:numFmt formatCode="#,##0" sourceLinked="0"/>
        <c:majorTickMark val="out"/>
        <c:minorTickMark val="none"/>
        <c:tickLblPos val="nextTo"/>
        <c:txPr>
          <a:bodyPr/>
          <a:lstStyle/>
          <a:p>
            <a:pPr>
              <a:defRPr b="1">
                <a:solidFill>
                  <a:sysClr val="windowText" lastClr="000000"/>
                </a:solidFill>
                <a:latin typeface="Arial" pitchFamily="34" charset="0"/>
                <a:cs typeface="Arial" pitchFamily="34" charset="0"/>
              </a:defRPr>
            </a:pPr>
            <a:endParaRPr lang="en-US"/>
          </a:p>
        </c:txPr>
        <c:crossAx val="155267072"/>
        <c:crosses val="autoZero"/>
        <c:crossBetween val="between"/>
      </c:valAx>
      <c:spPr>
        <a:noFill/>
        <a:ln w="25400">
          <a:noFill/>
        </a:ln>
      </c:spPr>
    </c:plotArea>
    <c:legend>
      <c:legendPos val="r"/>
      <c:layout>
        <c:manualLayout>
          <c:xMode val="edge"/>
          <c:yMode val="edge"/>
          <c:x val="0.18481643184432456"/>
          <c:y val="0.17479126429950972"/>
          <c:w val="0.35622924253112431"/>
          <c:h val="6.4281285594017731E-2"/>
        </c:manualLayout>
      </c:layout>
      <c:overlay val="0"/>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21" l="0.70000000000000062" r="0.70000000000000062" t="0.7500000000000122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ar-QA" sz="1400"/>
              <a:t>عقود الزواج حسب مهنة </a:t>
            </a:r>
            <a:r>
              <a:rPr lang="ar-QA" sz="1400" b="1" i="0" u="none" strike="noStrike" baseline="0">
                <a:effectLst/>
              </a:rPr>
              <a:t>الزوجة و</a:t>
            </a:r>
            <a:r>
              <a:rPr lang="ar-QA" sz="1400"/>
              <a:t>الزوج </a:t>
            </a:r>
          </a:p>
          <a:p>
            <a:pPr>
              <a:defRPr sz="1200"/>
            </a:pPr>
            <a:r>
              <a:rPr lang="en-US" sz="1200"/>
              <a:t>MARRIAGES BY WIFE AND HUSBAND OCCUPATION</a:t>
            </a:r>
            <a:endParaRPr lang="ar-QA" sz="1200"/>
          </a:p>
          <a:p>
            <a:pPr>
              <a:defRPr sz="1200"/>
            </a:pPr>
            <a:r>
              <a:rPr lang="en-US" sz="1200"/>
              <a:t>2021</a:t>
            </a:r>
          </a:p>
        </c:rich>
      </c:tx>
      <c:layout/>
      <c:overlay val="0"/>
    </c:title>
    <c:autoTitleDeleted val="0"/>
    <c:plotArea>
      <c:layout>
        <c:manualLayout>
          <c:layoutTarget val="inner"/>
          <c:xMode val="edge"/>
          <c:yMode val="edge"/>
          <c:x val="6.9130841403445262E-2"/>
          <c:y val="0.25134083350751318"/>
          <c:w val="0.92454520771110504"/>
          <c:h val="0.53968934235888222"/>
        </c:manualLayout>
      </c:layout>
      <c:barChart>
        <c:barDir val="col"/>
        <c:grouping val="clustered"/>
        <c:varyColors val="0"/>
        <c:ser>
          <c:idx val="0"/>
          <c:order val="0"/>
          <c:tx>
            <c:strRef>
              <c:f>'17-3'!$B$27</c:f>
              <c:strCache>
                <c:ptCount val="1"/>
                <c:pt idx="0">
                  <c:v>الزوج Husband</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'17-3'!$B$28:$B$35</c:f>
              <c:numCache>
                <c:formatCode>#,##0</c:formatCode>
                <c:ptCount val="8"/>
                <c:pt idx="0">
                  <c:v>1450</c:v>
                </c:pt>
                <c:pt idx="1">
                  <c:v>88</c:v>
                </c:pt>
                <c:pt idx="2">
                  <c:v>215</c:v>
                </c:pt>
                <c:pt idx="3">
                  <c:v>534</c:v>
                </c:pt>
                <c:pt idx="4">
                  <c:v>1109</c:v>
                </c:pt>
                <c:pt idx="5">
                  <c:v>696</c:v>
                </c:pt>
                <c:pt idx="6">
                  <c:v>226</c:v>
                </c:pt>
                <c:pt idx="7">
                  <c:v>72</c:v>
                </c:pt>
              </c:numCache>
            </c:numRef>
          </c:val>
          <c:extLst xmlns:c16r2="http://schemas.microsoft.com/office/drawing/2015/06/chart">
            <c:ext xmlns:c16="http://schemas.microsoft.com/office/drawing/2014/chart" uri="{C3380CC4-5D6E-409C-BE32-E72D297353CC}">
              <c16:uniqueId val="{00000000-630D-43D3-AE76-0FFFEDF8EF30}"/>
            </c:ext>
          </c:extLst>
        </c:ser>
        <c:ser>
          <c:idx val="1"/>
          <c:order val="1"/>
          <c:tx>
            <c:strRef>
              <c:f>'17-3'!$C$27</c:f>
              <c:strCache>
                <c:ptCount val="1"/>
                <c:pt idx="0">
                  <c:v>الزوجة Wife</c:v>
                </c:pt>
              </c:strCache>
            </c:strRef>
          </c:tx>
          <c:invertIfNegative val="0"/>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'17-3'!$A$28:$A$35</c:f>
              <c:strCache>
                <c:ptCount val="8"/>
                <c:pt idx="0">
                  <c:v>الكتبة
Clerks</c:v>
                </c:pt>
                <c:pt idx="1">
                  <c:v>المهن العادية
 Elementary Occupations</c:v>
                </c:pt>
                <c:pt idx="2">
                  <c:v>العاملون في الخدمات والباعة في المحلات التجارية والأسواق
Service Workers And Shop And Market Sales Workers</c:v>
                </c:pt>
                <c:pt idx="3">
                  <c:v>الاختصاصيون
Professionals</c:v>
                </c:pt>
                <c:pt idx="4">
                  <c:v>الفنيون والاختصاصيون المساعدون
Technicians And Associate Professionals</c:v>
                </c:pt>
                <c:pt idx="5">
                  <c:v>المشرعون وموظفو الإدارة العليا والمديرون
Legislators, Senior Officials And Managers</c:v>
                </c:pt>
                <c:pt idx="6">
                  <c:v>بدون مهنة
 No Occup</c:v>
                </c:pt>
                <c:pt idx="7">
                  <c:v>أخرى
Other</c:v>
                </c:pt>
              </c:strCache>
            </c:strRef>
          </c:cat>
          <c:val>
            <c:numRef>
              <c:f>'17-3'!$C$28:$C$35</c:f>
              <c:numCache>
                <c:formatCode>#,##0</c:formatCode>
                <c:ptCount val="8"/>
                <c:pt idx="0">
                  <c:v>544</c:v>
                </c:pt>
                <c:pt idx="1">
                  <c:v>45</c:v>
                </c:pt>
                <c:pt idx="2">
                  <c:v>137</c:v>
                </c:pt>
                <c:pt idx="3">
                  <c:v>336</c:v>
                </c:pt>
                <c:pt idx="4">
                  <c:v>831</c:v>
                </c:pt>
                <c:pt idx="5">
                  <c:v>39</c:v>
                </c:pt>
                <c:pt idx="6">
                  <c:v>2456</c:v>
                </c:pt>
                <c:pt idx="7">
                  <c:v>2</c:v>
                </c:pt>
              </c:numCache>
            </c:numRef>
          </c:val>
          <c:extLst xmlns:c16r2="http://schemas.microsoft.com/office/drawing/2015/06/chart">
            <c:ext xmlns:c16="http://schemas.microsoft.com/office/drawing/2014/chart" uri="{C3380CC4-5D6E-409C-BE32-E72D297353CC}">
              <c16:uniqueId val="{00000001-630D-43D3-AE76-0FFFEDF8EF30}"/>
            </c:ext>
          </c:extLst>
        </c:ser>
        <c:dLbls>
          <c:showLegendKey val="0"/>
          <c:showVal val="0"/>
          <c:showCatName val="0"/>
          <c:showSerName val="0"/>
          <c:showPercent val="0"/>
          <c:showBubbleSize val="0"/>
        </c:dLbls>
        <c:gapWidth val="150"/>
        <c:axId val="155453696"/>
        <c:axId val="155471872"/>
      </c:barChart>
      <c:catAx>
        <c:axId val="155453696"/>
        <c:scaling>
          <c:orientation val="minMax"/>
        </c:scaling>
        <c:delete val="0"/>
        <c:axPos val="b"/>
        <c:majorGridlines>
          <c:spPr>
            <a:ln w="3175">
              <a:solidFill>
                <a:schemeClr val="bg1">
                  <a:lumMod val="85000"/>
                </a:schemeClr>
              </a:solidFill>
            </a:ln>
          </c:spPr>
        </c:majorGridlines>
        <c:numFmt formatCode="General" sourceLinked="0"/>
        <c:majorTickMark val="out"/>
        <c:minorTickMark val="none"/>
        <c:tickLblPos val="nextTo"/>
        <c:txPr>
          <a:bodyPr/>
          <a:lstStyle/>
          <a:p>
            <a:pPr>
              <a:defRPr sz="800"/>
            </a:pPr>
            <a:endParaRPr lang="en-US"/>
          </a:p>
        </c:txPr>
        <c:crossAx val="155471872"/>
        <c:crosses val="autoZero"/>
        <c:auto val="1"/>
        <c:lblAlgn val="ctr"/>
        <c:lblOffset val="100"/>
        <c:noMultiLvlLbl val="0"/>
      </c:catAx>
      <c:valAx>
        <c:axId val="155471872"/>
        <c:scaling>
          <c:orientation val="minMax"/>
        </c:scaling>
        <c:delete val="0"/>
        <c:axPos val="l"/>
        <c:majorGridlines>
          <c:spPr>
            <a:ln w="3175">
              <a:solidFill>
                <a:schemeClr val="bg1">
                  <a:lumMod val="85000"/>
                </a:schemeClr>
              </a:solidFill>
            </a:ln>
          </c:spPr>
        </c:majorGridlines>
        <c:title>
          <c:tx>
            <c:rich>
              <a:bodyPr rot="0" vert="horz"/>
              <a:lstStyle/>
              <a:p>
                <a:pPr>
                  <a:defRPr/>
                </a:pPr>
                <a:r>
                  <a:rPr lang="ar-QA">
                    <a:solidFill>
                      <a:schemeClr val="tx2"/>
                    </a:solidFill>
                  </a:rPr>
                  <a:t>العدد</a:t>
                </a:r>
              </a:p>
              <a:p>
                <a:pPr>
                  <a:defRPr/>
                </a:pPr>
                <a:r>
                  <a:rPr lang="en-US">
                    <a:solidFill>
                      <a:schemeClr val="tx2"/>
                    </a:solidFill>
                  </a:rPr>
                  <a:t>Number</a:t>
                </a:r>
              </a:p>
            </c:rich>
          </c:tx>
          <c:layout>
            <c:manualLayout>
              <c:xMode val="edge"/>
              <c:yMode val="edge"/>
              <c:x val="1.8390804597701149E-2"/>
              <c:y val="0.16291297145181305"/>
            </c:manualLayout>
          </c:layout>
          <c:overlay val="0"/>
        </c:title>
        <c:numFmt formatCode="#,##0" sourceLinked="1"/>
        <c:majorTickMark val="out"/>
        <c:minorTickMark val="none"/>
        <c:tickLblPos val="nextTo"/>
        <c:txPr>
          <a:bodyPr/>
          <a:lstStyle/>
          <a:p>
            <a:pPr>
              <a:defRPr b="1"/>
            </a:pPr>
            <a:endParaRPr lang="en-US"/>
          </a:p>
        </c:txPr>
        <c:crossAx val="155453696"/>
        <c:crosses val="autoZero"/>
        <c:crossBetween val="between"/>
      </c:valAx>
      <c:spPr>
        <a:ln>
          <a:noFill/>
        </a:ln>
      </c:spPr>
    </c:plotArea>
    <c:legend>
      <c:legendPos val="r"/>
      <c:layout>
        <c:manualLayout>
          <c:xMode val="edge"/>
          <c:yMode val="edge"/>
          <c:x val="0.64644522882915501"/>
          <c:y val="0.17803893364773193"/>
          <c:w val="0.30298005852716686"/>
          <c:h val="6.3511300743088542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2"/>
    </mc:Choice>
    <mc:Fallback>
      <c:style val="32"/>
    </mc:Fallback>
  </mc:AlternateContent>
  <c:chart>
    <c:title>
      <c:tx>
        <c:rich>
          <a:bodyPr/>
          <a:lstStyle/>
          <a:p>
            <a:pPr>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عقود الزواج حسب عدد أبناء الزوجة وجنسية الزوج والزوجة</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Marriages by Number of Wife's Children &amp; Natioanltiy of Husband &amp; Wife</a:t>
            </a:r>
          </a:p>
          <a:p>
            <a:pPr>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2021</a:t>
            </a:r>
          </a:p>
        </c:rich>
      </c:tx>
      <c:layout>
        <c:manualLayout>
          <c:xMode val="edge"/>
          <c:yMode val="edge"/>
          <c:x val="0.17359918102582847"/>
          <c:y val="1.9526759155106078E-2"/>
        </c:manualLayout>
      </c:layout>
      <c:overlay val="0"/>
      <c:spPr>
        <a:noFill/>
        <a:ln w="25400">
          <a:noFill/>
        </a:ln>
      </c:spPr>
    </c:title>
    <c:autoTitleDeleted val="0"/>
    <c:plotArea>
      <c:layout>
        <c:manualLayout>
          <c:layoutTarget val="inner"/>
          <c:xMode val="edge"/>
          <c:yMode val="edge"/>
          <c:x val="7.8842796824310002E-2"/>
          <c:y val="0.26653743624512688"/>
          <c:w val="0.91200691217945584"/>
          <c:h val="0.5554134500310749"/>
        </c:manualLayout>
      </c:layout>
      <c:barChart>
        <c:barDir val="col"/>
        <c:grouping val="clustered"/>
        <c:varyColors val="0"/>
        <c:ser>
          <c:idx val="0"/>
          <c:order val="0"/>
          <c:tx>
            <c:strRef>
              <c:f>'20'!$B$25</c:f>
              <c:strCache>
                <c:ptCount val="1"/>
                <c:pt idx="0">
                  <c:v>عدد الحالات
No. of cases</c:v>
                </c:pt>
              </c:strCache>
            </c:strRef>
          </c:tx>
          <c:spPr>
            <a:solidFill>
              <a:schemeClr val="accent3">
                <a:lumMod val="60000"/>
                <a:lumOff val="40000"/>
              </a:schemeClr>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'20'!$B$26:$B$29</c:f>
              <c:numCache>
                <c:formatCode>#,##0</c:formatCode>
                <c:ptCount val="4"/>
                <c:pt idx="0">
                  <c:v>2160</c:v>
                </c:pt>
                <c:pt idx="1">
                  <c:v>269</c:v>
                </c:pt>
                <c:pt idx="2">
                  <c:v>116</c:v>
                </c:pt>
                <c:pt idx="3">
                  <c:v>1845</c:v>
                </c:pt>
              </c:numCache>
            </c:numRef>
          </c:val>
          <c:extLst xmlns:c16r2="http://schemas.microsoft.com/office/drawing/2015/06/chart">
            <c:ext xmlns:c16="http://schemas.microsoft.com/office/drawing/2014/chart" uri="{C3380CC4-5D6E-409C-BE32-E72D297353CC}">
              <c16:uniqueId val="{00000000-F208-4FF9-BE3A-714E4CBB1207}"/>
            </c:ext>
          </c:extLst>
        </c:ser>
        <c:ser>
          <c:idx val="1"/>
          <c:order val="1"/>
          <c:tx>
            <c:strRef>
              <c:f>'20'!$C$25</c:f>
              <c:strCache>
                <c:ptCount val="1"/>
                <c:pt idx="0">
                  <c:v>عدد الأبناء
No. of Children</c:v>
                </c:pt>
              </c:strCache>
            </c:strRef>
          </c:tx>
          <c:spPr>
            <a:solidFill>
              <a:schemeClr val="tx2"/>
            </a:solidFill>
            <a:scene3d>
              <a:camera prst="orthographicFront"/>
              <a:lightRig rig="threePt" dir="t">
                <a:rot lat="0" lon="0" rev="1200000"/>
              </a:lightRig>
            </a:scene3d>
            <a:sp3d/>
          </c:spPr>
          <c:invertIfNegative val="0"/>
          <c:dLbls>
            <c:spPr>
              <a:noFill/>
              <a:ln>
                <a:noFill/>
              </a:ln>
              <a:effectLst/>
            </c:spPr>
            <c:txPr>
              <a:bodyPr/>
              <a:lstStyle/>
              <a:p>
                <a:pPr>
                  <a:defRPr sz="1000"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'20'!$A$26:$A$29</c:f>
              <c:strCache>
                <c:ptCount val="4"/>
                <c:pt idx="0">
                  <c:v>الزوج قطري والزوجة قطرية
Qatari Husband &amp; Qatari Wife</c:v>
                </c:pt>
                <c:pt idx="1">
                  <c:v>الزوج قطري والزوجة غير قطرية
Qatari Husband &amp; Non-Qatari Wife</c:v>
                </c:pt>
                <c:pt idx="2">
                  <c:v>الزوج غير قطري والزوجة قطرية
Non-Qatari Husband &amp; Qatari Wife</c:v>
                </c:pt>
                <c:pt idx="3">
                  <c:v>الزوج غير قطري والزوجة غير قطرية
Non-Qatari Husband &amp; Non-Qatari Wife</c:v>
                </c:pt>
              </c:strCache>
            </c:strRef>
          </c:cat>
          <c:val>
            <c:numRef>
              <c:f>'20'!$C$26:$C$29</c:f>
              <c:numCache>
                <c:formatCode>#,##0</c:formatCode>
                <c:ptCount val="4"/>
                <c:pt idx="0">
                  <c:v>314</c:v>
                </c:pt>
                <c:pt idx="1">
                  <c:v>42</c:v>
                </c:pt>
                <c:pt idx="2">
                  <c:v>25</c:v>
                </c:pt>
                <c:pt idx="3">
                  <c:v>175</c:v>
                </c:pt>
              </c:numCache>
            </c:numRef>
          </c:val>
          <c:extLst xmlns:c16r2="http://schemas.microsoft.com/office/drawing/2015/06/chart">
            <c:ext xmlns:c16="http://schemas.microsoft.com/office/drawing/2014/chart" uri="{C3380CC4-5D6E-409C-BE32-E72D297353CC}">
              <c16:uniqueId val="{00000001-F208-4FF9-BE3A-714E4CBB1207}"/>
            </c:ext>
          </c:extLst>
        </c:ser>
        <c:dLbls>
          <c:showLegendKey val="0"/>
          <c:showVal val="1"/>
          <c:showCatName val="0"/>
          <c:showSerName val="0"/>
          <c:showPercent val="0"/>
          <c:showBubbleSize val="0"/>
        </c:dLbls>
        <c:gapWidth val="150"/>
        <c:axId val="155813376"/>
        <c:axId val="155815296"/>
      </c:barChart>
      <c:catAx>
        <c:axId val="155813376"/>
        <c:scaling>
          <c:orientation val="minMax"/>
        </c:scaling>
        <c:delete val="0"/>
        <c:axPos val="b"/>
        <c:majorGridlines>
          <c:spPr>
            <a:ln w="3175">
              <a:solidFill>
                <a:schemeClr val="bg1">
                  <a:lumMod val="85000"/>
                </a:schemeClr>
              </a:solidFill>
            </a:ln>
          </c:spPr>
        </c:majorGridlines>
        <c:title>
          <c:tx>
            <c:rich>
              <a:bodyPr/>
              <a:lstStyle/>
              <a:p>
                <a:pPr>
                  <a:defRPr sz="1100" b="0" i="0" u="none" strike="noStrike" baseline="0">
                    <a:solidFill>
                      <a:schemeClr val="accent1"/>
                    </a:solidFill>
                    <a:latin typeface="Calibri"/>
                    <a:ea typeface="Calibri"/>
                    <a:cs typeface="Calibri"/>
                  </a:defRPr>
                </a:pPr>
                <a:r>
                  <a:rPr lang="en-US" sz="1200" b="1" i="0" u="none" strike="noStrike" baseline="0">
                    <a:solidFill>
                      <a:schemeClr val="accent1"/>
                    </a:solidFill>
                    <a:latin typeface="Arial"/>
                    <a:cs typeface="Arial"/>
                  </a:rPr>
                  <a:t>Nationality</a:t>
                </a:r>
                <a:r>
                  <a:rPr lang="en-US" sz="1200" b="1" i="0" u="none" strike="noStrike" baseline="0">
                    <a:solidFill>
                      <a:schemeClr val="accent1"/>
                    </a:solidFill>
                    <a:latin typeface="Calibri"/>
                  </a:rPr>
                  <a:t> </a:t>
                </a:r>
                <a:r>
                  <a:rPr lang="ar-QA" sz="1200" b="1" i="0" u="none" strike="noStrike" baseline="0">
                    <a:solidFill>
                      <a:schemeClr val="accent1"/>
                    </a:solidFill>
                    <a:latin typeface="Calibri"/>
                  </a:rPr>
                  <a:t>الجنسية</a:t>
                </a:r>
              </a:p>
            </c:rich>
          </c:tx>
          <c:layout>
            <c:manualLayout>
              <c:xMode val="edge"/>
              <c:yMode val="edge"/>
              <c:x val="0.45839336911562312"/>
              <c:y val="0.9539405574303351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5815296"/>
        <c:crosses val="autoZero"/>
        <c:auto val="1"/>
        <c:lblAlgn val="ctr"/>
        <c:lblOffset val="100"/>
        <c:tickLblSkip val="1"/>
        <c:tickMarkSkip val="1"/>
        <c:noMultiLvlLbl val="0"/>
      </c:catAx>
      <c:valAx>
        <c:axId val="155815296"/>
        <c:scaling>
          <c:orientation val="minMax"/>
        </c:scaling>
        <c:delete val="0"/>
        <c:axPos val="l"/>
        <c:majorGridlines>
          <c:spPr>
            <a:ln w="3175">
              <a:solidFill>
                <a:schemeClr val="bg1">
                  <a:lumMod val="85000"/>
                </a:schemeClr>
              </a:solidFill>
            </a:ln>
          </c:spPr>
        </c:majorGridlines>
        <c:title>
          <c:tx>
            <c:rich>
              <a:bodyPr rot="0" vert="horz"/>
              <a:lstStyle/>
              <a:p>
                <a:pPr>
                  <a:defRPr sz="1000" b="1">
                    <a:solidFill>
                      <a:schemeClr val="tx2"/>
                    </a:solidFill>
                  </a:defRPr>
                </a:pPr>
                <a:r>
                  <a:rPr lang="ar-QA" sz="1000" b="1">
                    <a:solidFill>
                      <a:schemeClr val="tx2"/>
                    </a:solidFill>
                  </a:rPr>
                  <a:t>العدد</a:t>
                </a:r>
              </a:p>
              <a:p>
                <a:pPr>
                  <a:defRPr sz="1000" b="1">
                    <a:solidFill>
                      <a:schemeClr val="tx2"/>
                    </a:solidFill>
                  </a:defRPr>
                </a:pPr>
                <a:r>
                  <a:rPr lang="en-US" sz="1000" b="1">
                    <a:solidFill>
                      <a:schemeClr val="tx2"/>
                    </a:solidFill>
                  </a:rPr>
                  <a:t>Number</a:t>
                </a:r>
              </a:p>
            </c:rich>
          </c:tx>
          <c:layout>
            <c:manualLayout>
              <c:xMode val="edge"/>
              <c:yMode val="edge"/>
              <c:x val="6.6252587991718426E-3"/>
              <c:y val="0.1669381738241624"/>
            </c:manualLayout>
          </c:layout>
          <c:overlay val="0"/>
        </c:title>
        <c:numFmt formatCode="#,##0" sourceLinked="0"/>
        <c:majorTickMark val="out"/>
        <c:minorTickMark val="none"/>
        <c:tickLblPos val="nextTo"/>
        <c:txPr>
          <a:bodyPr/>
          <a:lstStyle/>
          <a:p>
            <a:pPr>
              <a:defRPr b="1">
                <a:latin typeface="Arial" pitchFamily="34" charset="0"/>
                <a:cs typeface="Arial" pitchFamily="34" charset="0"/>
              </a:defRPr>
            </a:pPr>
            <a:endParaRPr lang="en-US"/>
          </a:p>
        </c:txPr>
        <c:crossAx val="155813376"/>
        <c:crosses val="autoZero"/>
        <c:crossBetween val="between"/>
      </c:valAx>
    </c:plotArea>
    <c:legend>
      <c:legendPos val="r"/>
      <c:layout>
        <c:manualLayout>
          <c:xMode val="edge"/>
          <c:yMode val="edge"/>
          <c:x val="0.32735201538448633"/>
          <c:y val="0.17289338832646509"/>
          <c:w val="0.38559945224238273"/>
          <c:h val="8.2507152359379735E-2"/>
        </c:manualLayout>
      </c:layout>
      <c:overlay val="0"/>
      <c:spPr>
        <a:noFill/>
      </c:spPr>
      <c:txPr>
        <a:bodyPr/>
        <a:lstStyle/>
        <a:p>
          <a:pPr>
            <a:defRPr sz="1100" b="1"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19685039370078738" l="0.15748031496063086" r="0.15748031496063086" t="0.5905511811023531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rtl="0">
              <a:defRPr sz="1000" b="0" i="0" u="none" strike="noStrike" baseline="0">
                <a:solidFill>
                  <a:srgbClr val="000000"/>
                </a:solidFill>
                <a:latin typeface="Calibri"/>
                <a:ea typeface="Calibri"/>
                <a:cs typeface="Calibri"/>
              </a:defRPr>
            </a:pPr>
            <a:r>
              <a:rPr lang="ar-QA" sz="1400" b="1" i="0" u="none" strike="noStrike" baseline="0">
                <a:solidFill>
                  <a:srgbClr val="000000"/>
                </a:solidFill>
                <a:latin typeface="Calibri"/>
              </a:rPr>
              <a:t>معدل الطـــلاق العام</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DIVORCES BY GENERAL RATE</a:t>
            </a:r>
          </a:p>
          <a:p>
            <a:pPr rtl="0">
              <a:defRPr sz="1000" b="0" i="0" u="none" strike="noStrike" baseline="0">
                <a:solidFill>
                  <a:srgbClr val="000000"/>
                </a:solidFill>
                <a:latin typeface="Calibri"/>
                <a:ea typeface="Calibri"/>
                <a:cs typeface="Calibri"/>
              </a:defRPr>
            </a:pPr>
            <a:r>
              <a:rPr lang="en-US" sz="1200" b="1" i="0" u="none" strike="noStrike" baseline="0">
                <a:solidFill>
                  <a:srgbClr val="000000"/>
                </a:solidFill>
                <a:latin typeface="Arial"/>
                <a:cs typeface="Arial"/>
              </a:rPr>
              <a:t>2012 - 2021</a:t>
            </a:r>
          </a:p>
        </c:rich>
      </c:tx>
      <c:layout>
        <c:manualLayout>
          <c:xMode val="edge"/>
          <c:yMode val="edge"/>
          <c:x val="0.37823988103182032"/>
          <c:y val="1.3295696528499558E-2"/>
        </c:manualLayout>
      </c:layout>
      <c:overlay val="0"/>
      <c:spPr>
        <a:noFill/>
        <a:ln w="25400">
          <a:noFill/>
        </a:ln>
      </c:spPr>
    </c:title>
    <c:autoTitleDeleted val="0"/>
    <c:plotArea>
      <c:layout>
        <c:manualLayout>
          <c:layoutTarget val="inner"/>
          <c:xMode val="edge"/>
          <c:yMode val="edge"/>
          <c:x val="6.6870158179379247E-2"/>
          <c:y val="0.2078006633351622"/>
          <c:w val="0.90928460213660001"/>
          <c:h val="0.67639327569929464"/>
        </c:manualLayout>
      </c:layout>
      <c:lineChart>
        <c:grouping val="standard"/>
        <c:varyColors val="0"/>
        <c:ser>
          <c:idx val="1"/>
          <c:order val="0"/>
          <c:tx>
            <c:strRef>
              <c:f>'21'!$L$7:$M$7</c:f>
              <c:strCache>
                <c:ptCount val="1"/>
                <c:pt idx="0">
                  <c:v>الإناث Females</c:v>
                </c:pt>
              </c:strCache>
            </c:strRef>
          </c:tx>
          <c:marker>
            <c:symbol val="triangle"/>
            <c:size val="6"/>
            <c:spPr>
              <a:solidFill>
                <a:schemeClr val="accent2">
                  <a:lumMod val="20000"/>
                  <a:lumOff val="80000"/>
                </a:schemeClr>
              </a:solidFill>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35B-4392-BA7F-EE16B8317349}"/>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35B-4392-BA7F-EE16B8317349}"/>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35B-4392-BA7F-EE16B8317349}"/>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35B-4392-BA7F-EE16B8317349}"/>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35B-4392-BA7F-EE16B8317349}"/>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35B-4392-BA7F-EE16B8317349}"/>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35B-4392-BA7F-EE16B8317349}"/>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35B-4392-BA7F-EE16B8317349}"/>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'21'!$N$9:$N$18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'21'!$M$9:$M$18</c:f>
              <c:numCache>
                <c:formatCode>0.0</c:formatCode>
                <c:ptCount val="10"/>
                <c:pt idx="0">
                  <c:v>4.0999999999999996</c:v>
                </c:pt>
                <c:pt idx="1">
                  <c:v>3.5</c:v>
                </c:pt>
                <c:pt idx="2">
                  <c:v>3.2309502925054239</c:v>
                </c:pt>
                <c:pt idx="3">
                  <c:v>3.0219233952823776</c:v>
                </c:pt>
                <c:pt idx="4">
                  <c:v>2.4654441547981913</c:v>
                </c:pt>
                <c:pt idx="5">
                  <c:v>2.4392907853060035</c:v>
                </c:pt>
                <c:pt idx="6">
                  <c:v>2.2604877451730365</c:v>
                </c:pt>
                <c:pt idx="7">
                  <c:v>3.3966837396505842</c:v>
                </c:pt>
                <c:pt idx="8">
                  <c:v>3.1</c:v>
                </c:pt>
                <c:pt idx="9">
                  <c:v>4</c:v>
                </c:pt>
              </c:numCache>
            </c:numRef>
          </c:val>
          <c:smooth val="0"/>
          <c:extLst xmlns:c16r2="http://schemas.microsoft.com/office/drawing/2015/06/chart">
            <c:ext xmlns:c16="http://schemas.microsoft.com/office/drawing/2014/chart" uri="{C3380CC4-5D6E-409C-BE32-E72D297353CC}">
              <c16:uniqueId val="{00000008-235B-4392-BA7F-EE16B8317349}"/>
            </c:ext>
          </c:extLst>
        </c:ser>
        <c:ser>
          <c:idx val="0"/>
          <c:order val="1"/>
          <c:tx>
            <c:strRef>
              <c:f>'21'!$J$7:$K$7</c:f>
              <c:strCache>
                <c:ptCount val="1"/>
                <c:pt idx="0">
                  <c:v>الذكور Males</c:v>
                </c:pt>
              </c:strCache>
            </c:strRef>
          </c:tx>
          <c:marker>
            <c:spPr>
              <a:solidFill>
                <a:schemeClr val="accent1">
                  <a:lumMod val="20000"/>
                  <a:lumOff val="80000"/>
                </a:schemeClr>
              </a:solidFill>
            </c:spPr>
          </c:marker>
          <c:dLbls>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35B-4392-BA7F-EE16B8317349}"/>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35B-4392-BA7F-EE16B8317349}"/>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35B-4392-BA7F-EE16B8317349}"/>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35B-4392-BA7F-EE16B8317349}"/>
                </c:ext>
              </c:extLst>
            </c:dLbl>
            <c:dLbl>
              <c:idx val="5"/>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35B-4392-BA7F-EE16B8317349}"/>
                </c:ext>
              </c:extLst>
            </c:dLbl>
            <c:dLbl>
              <c:idx val="6"/>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35B-4392-BA7F-EE16B8317349}"/>
                </c:ext>
              </c:extLst>
            </c:dLbl>
            <c:dLbl>
              <c:idx val="7"/>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35B-4392-BA7F-EE16B8317349}"/>
                </c:ext>
              </c:extLst>
            </c:dLbl>
            <c:dLbl>
              <c:idx val="8"/>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35B-4392-BA7F-EE16B8317349}"/>
                </c:ext>
              </c:extLst>
            </c:dLbl>
            <c:spPr>
              <a:noFill/>
              <a:ln>
                <a:noFill/>
              </a:ln>
              <a:effectLst/>
            </c:spPr>
            <c:txPr>
              <a:bodyPr/>
              <a:lstStyle/>
              <a:p>
                <a:pPr>
                  <a:defRPr>
                    <a:latin typeface="Arial" pitchFamily="34" charset="0"/>
                    <a:cs typeface="Arial" pitchFamily="34" charset="0"/>
                  </a:defRPr>
                </a:pPr>
                <a:endParaRPr lang="en-U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'21'!$N$9:$N$18</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'21'!$K$9:$K$18</c:f>
              <c:numCache>
                <c:formatCode>0.0</c:formatCode>
                <c:ptCount val="10"/>
                <c:pt idx="0">
                  <c:v>1.2</c:v>
                </c:pt>
                <c:pt idx="1">
                  <c:v>1</c:v>
                </c:pt>
                <c:pt idx="2">
                  <c:v>0.88430707983645362</c:v>
                </c:pt>
                <c:pt idx="3">
                  <c:v>0.78362528921289132</c:v>
                </c:pt>
                <c:pt idx="4">
                  <c:v>0.64198599566952286</c:v>
                </c:pt>
                <c:pt idx="5">
                  <c:v>0.64914093786332516</c:v>
                </c:pt>
                <c:pt idx="6">
                  <c:v>0.63820998836427645</c:v>
                </c:pt>
                <c:pt idx="7">
                  <c:v>0.98488923085685365</c:v>
                </c:pt>
                <c:pt idx="8">
                  <c:v>0.98220268085451634</c:v>
                </c:pt>
                <c:pt idx="9">
                  <c:v>1.2</c:v>
                </c:pt>
              </c:numCache>
            </c:numRef>
          </c:val>
          <c:smooth val="0"/>
          <c:extLst xmlns:c16r2="http://schemas.microsoft.com/office/drawing/2015/06/chart">
            <c:ext xmlns:c16="http://schemas.microsoft.com/office/drawing/2014/chart" uri="{C3380CC4-5D6E-409C-BE32-E72D297353CC}">
              <c16:uniqueId val="{00000011-235B-4392-BA7F-EE16B8317349}"/>
            </c:ext>
          </c:extLst>
        </c:ser>
        <c:dLbls>
          <c:showLegendKey val="0"/>
          <c:showVal val="1"/>
          <c:showCatName val="0"/>
          <c:showSerName val="0"/>
          <c:showPercent val="0"/>
          <c:showBubbleSize val="0"/>
        </c:dLbls>
        <c:marker val="1"/>
        <c:smooth val="0"/>
        <c:axId val="156630400"/>
        <c:axId val="157877760"/>
      </c:lineChart>
      <c:catAx>
        <c:axId val="156630400"/>
        <c:scaling>
          <c:orientation val="minMax"/>
        </c:scaling>
        <c:delete val="0"/>
        <c:axPos val="b"/>
        <c:majorGridlines>
          <c:spPr>
            <a:ln w="3175">
              <a:solidFill>
                <a:schemeClr val="bg1"/>
              </a:solidFill>
            </a:ln>
          </c:spPr>
        </c:majorGridlines>
        <c:title>
          <c:tx>
            <c:rich>
              <a:bodyPr/>
              <a:lstStyle/>
              <a:p>
                <a:pPr>
                  <a:defRPr sz="1100" b="0" i="0" u="none" strike="noStrike" baseline="0">
                    <a:solidFill>
                      <a:srgbClr val="000000"/>
                    </a:solidFill>
                    <a:latin typeface="Calibri"/>
                    <a:ea typeface="Calibri"/>
                    <a:cs typeface="Calibri"/>
                  </a:defRPr>
                </a:pPr>
                <a:r>
                  <a:rPr lang="ar-QA" sz="1100" b="1" i="0" u="none" strike="noStrike" baseline="0">
                    <a:solidFill>
                      <a:srgbClr val="000000"/>
                    </a:solidFill>
                    <a:latin typeface="Arial"/>
                    <a:cs typeface="Arial"/>
                  </a:rPr>
                  <a:t>السنوات  </a:t>
                </a:r>
                <a:r>
                  <a:rPr lang="en-US" sz="1100" b="1" i="0" u="none" strike="noStrike" baseline="0">
                    <a:solidFill>
                      <a:srgbClr val="000000"/>
                    </a:solidFill>
                    <a:latin typeface="Arial"/>
                    <a:cs typeface="Arial"/>
                  </a:rPr>
                  <a:t>Years</a:t>
                </a:r>
              </a:p>
            </c:rich>
          </c:tx>
          <c:layout>
            <c:manualLayout>
              <c:xMode val="edge"/>
              <c:yMode val="edge"/>
              <c:x val="0.46679071895674051"/>
              <c:y val="0.94772683603230212"/>
            </c:manualLayout>
          </c:layout>
          <c:overlay val="0"/>
          <c:spPr>
            <a:noFill/>
            <a:ln w="25400">
              <a:noFill/>
            </a:ln>
          </c:spPr>
        </c:title>
        <c:numFmt formatCode="General"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7877760"/>
        <c:crosses val="autoZero"/>
        <c:auto val="1"/>
        <c:lblAlgn val="ctr"/>
        <c:lblOffset val="100"/>
        <c:tickLblSkip val="1"/>
        <c:tickMarkSkip val="1"/>
        <c:noMultiLvlLbl val="0"/>
      </c:catAx>
      <c:valAx>
        <c:axId val="157877760"/>
        <c:scaling>
          <c:orientation val="minMax"/>
        </c:scaling>
        <c:delete val="0"/>
        <c:axPos val="l"/>
        <c:majorGridlines>
          <c:spPr>
            <a:ln w="3175">
              <a:solidFill>
                <a:schemeClr val="bg1"/>
              </a:solidFill>
            </a:ln>
          </c:spPr>
        </c:majorGridlines>
        <c:title>
          <c:tx>
            <c:rich>
              <a:bodyPr rot="0" vert="horz"/>
              <a:lstStyle/>
              <a:p>
                <a:pPr algn="ctr">
                  <a:defRPr sz="1000" b="0" i="0" u="none" strike="noStrike" baseline="0">
                    <a:solidFill>
                      <a:schemeClr val="tx2"/>
                    </a:solidFill>
                    <a:latin typeface="Calibri"/>
                    <a:ea typeface="Calibri"/>
                    <a:cs typeface="Calibri"/>
                  </a:defRPr>
                </a:pPr>
                <a:r>
                  <a:rPr lang="ar-QA" sz="1000" b="1" i="0" u="none" strike="noStrike" baseline="0">
                    <a:solidFill>
                      <a:schemeClr val="tx2"/>
                    </a:solidFill>
                    <a:latin typeface="Arial"/>
                    <a:cs typeface="Arial"/>
                  </a:rPr>
                  <a:t>المعدل</a:t>
                </a:r>
              </a:p>
              <a:p>
                <a:pPr algn="ctr">
                  <a:defRPr sz="1000" b="0" i="0" u="none" strike="noStrike" baseline="0">
                    <a:solidFill>
                      <a:schemeClr val="tx2"/>
                    </a:solidFill>
                    <a:latin typeface="Calibri"/>
                    <a:ea typeface="Calibri"/>
                    <a:cs typeface="Calibri"/>
                  </a:defRPr>
                </a:pPr>
                <a:r>
                  <a:rPr lang="en-US" sz="1000" b="1" i="0" u="none" strike="noStrike" baseline="0">
                    <a:solidFill>
                      <a:schemeClr val="tx2"/>
                    </a:solidFill>
                    <a:latin typeface="Calibri"/>
                  </a:rPr>
                  <a:t>Rate</a:t>
                </a:r>
              </a:p>
            </c:rich>
          </c:tx>
          <c:layout>
            <c:manualLayout>
              <c:xMode val="edge"/>
              <c:yMode val="edge"/>
              <c:x val="1.1439248060094184E-2"/>
              <c:y val="5.4411528747585799E-2"/>
            </c:manualLayout>
          </c:layout>
          <c:overlay val="0"/>
          <c:spPr>
            <a:noFill/>
            <a:ln w="25400">
              <a:noFill/>
            </a:ln>
          </c:spPr>
        </c:title>
        <c:numFmt formatCode="0.0" sourceLinked="1"/>
        <c:majorTickMark val="out"/>
        <c:minorTickMark val="none"/>
        <c:tickLblPos val="nextTo"/>
        <c:txPr>
          <a:bodyPr rot="0" vert="horz"/>
          <a:lstStyle/>
          <a:p>
            <a:pPr>
              <a:defRPr sz="1000" b="1" i="0" u="none" strike="noStrike" baseline="0">
                <a:solidFill>
                  <a:sysClr val="windowText" lastClr="000000"/>
                </a:solidFill>
                <a:latin typeface="Arial"/>
                <a:ea typeface="Arial"/>
                <a:cs typeface="Arial"/>
              </a:defRPr>
            </a:pPr>
            <a:endParaRPr lang="en-US"/>
          </a:p>
        </c:txPr>
        <c:crossAx val="156630400"/>
        <c:crosses val="autoZero"/>
        <c:crossBetween val="between"/>
        <c:majorUnit val="1"/>
      </c:valAx>
      <c:spPr>
        <a:solidFill>
          <a:srgbClr val="EEEEEE"/>
        </a:solidFill>
        <a:ln w="25400">
          <a:noFill/>
        </a:ln>
      </c:spPr>
    </c:plotArea>
    <c:legend>
      <c:legendPos val="t"/>
      <c:layout>
        <c:manualLayout>
          <c:xMode val="edge"/>
          <c:yMode val="edge"/>
          <c:x val="0.62211159502498081"/>
          <c:y val="0.15743879472693031"/>
          <c:w val="0.35325340742663575"/>
          <c:h val="4.5405934427688067E-2"/>
        </c:manualLayout>
      </c:layout>
      <c:overlay val="0"/>
      <c:txPr>
        <a:bodyPr/>
        <a:lstStyle/>
        <a:p>
          <a:pPr>
            <a:defRPr sz="1200"/>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243" l="0.70000000000000062" r="0.70000000000000062" t="0.7500000000000124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10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8.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9.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2.xml"/></Relationships>
</file>

<file path=xl/drawings/_rels/drawing1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7.xml"/></Relationships>
</file>

<file path=xl/drawings/_rels/drawing4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xml"/></Relationships>
</file>

<file path=xl/drawings/_rels/drawing4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9.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g"/></Relationships>
</file>

<file path=xl/drawings/_rels/drawing5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0.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1.xml"/></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2.xml"/></Relationships>
</file>

<file path=xl/drawings/_rels/drawing59.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1" Type="http://schemas.openxmlformats.org/officeDocument/2006/relationships/image" Target="../media/image4.png"/></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1" Type="http://schemas.openxmlformats.org/officeDocument/2006/relationships/image" Target="../media/image4.png"/></Relationships>
</file>

<file path=xl/drawings/_rels/drawing67.xml.rels><?xml version="1.0" encoding="UTF-8" standalone="yes"?>
<Relationships xmlns="http://schemas.openxmlformats.org/package/2006/relationships"><Relationship Id="rId1" Type="http://schemas.openxmlformats.org/officeDocument/2006/relationships/image" Target="../media/image4.png"/></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1" Type="http://schemas.openxmlformats.org/officeDocument/2006/relationships/image" Target="../media/image4.png"/></Relationships>
</file>

<file path=xl/drawings/_rels/drawing75.xml.rels><?xml version="1.0" encoding="UTF-8" standalone="yes"?>
<Relationships xmlns="http://schemas.openxmlformats.org/package/2006/relationships"><Relationship Id="rId1" Type="http://schemas.openxmlformats.org/officeDocument/2006/relationships/image" Target="../media/image4.png"/></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1" Type="http://schemas.openxmlformats.org/officeDocument/2006/relationships/image" Target="../media/image4.png"/></Relationships>
</file>

<file path=xl/drawings/_rels/drawing79.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1" Type="http://schemas.openxmlformats.org/officeDocument/2006/relationships/image" Target="../media/image4.png"/></Relationships>
</file>

<file path=xl/drawings/_rels/drawing83.xml.rels><?xml version="1.0" encoding="UTF-8" standalone="yes"?>
<Relationships xmlns="http://schemas.openxmlformats.org/package/2006/relationships"><Relationship Id="rId1" Type="http://schemas.openxmlformats.org/officeDocument/2006/relationships/image" Target="../media/image4.png"/></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3.xml"/></Relationships>
</file>

<file path=xl/drawings/_rels/drawing86.xml.rels><?xml version="1.0" encoding="UTF-8" standalone="yes"?>
<Relationships xmlns="http://schemas.openxmlformats.org/package/2006/relationships"><Relationship Id="rId1" Type="http://schemas.openxmlformats.org/officeDocument/2006/relationships/image" Target="../media/image4.png"/></Relationships>
</file>

<file path=xl/drawings/_rels/drawing8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4.xml"/></Relationships>
</file>

<file path=xl/drawings/_rels/drawing91.xml.rels><?xml version="1.0" encoding="UTF-8" standalone="yes"?>
<Relationships xmlns="http://schemas.openxmlformats.org/package/2006/relationships"><Relationship Id="rId1" Type="http://schemas.openxmlformats.org/officeDocument/2006/relationships/image" Target="../media/image4.png"/></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5.xml"/></Relationships>
</file>

<file path=xl/drawings/_rels/drawing9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1</xdr:col>
      <xdr:colOff>1781175</xdr:colOff>
      <xdr:row>2</xdr:row>
      <xdr:rowOff>336422</xdr:rowOff>
    </xdr:from>
    <xdr:to>
      <xdr:col>2</xdr:col>
      <xdr:colOff>1135769</xdr:colOff>
      <xdr:row>3</xdr:row>
      <xdr:rowOff>685801</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9512906" y="1098422"/>
          <a:ext cx="2269244" cy="15781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1</xdr:row>
      <xdr:rowOff>85725</xdr:rowOff>
    </xdr:from>
    <xdr:to>
      <xdr:col>12</xdr:col>
      <xdr:colOff>571500</xdr:colOff>
      <xdr:row>32</xdr:row>
      <xdr:rowOff>66675</xdr:rowOff>
    </xdr:to>
    <xdr:graphicFrame macro="">
      <xdr:nvGraphicFramePr>
        <xdr:cNvPr id="4" name="Chart 4">
          <a:extLst>
            <a:ext uri="{FF2B5EF4-FFF2-40B4-BE49-F238E27FC236}">
              <a16:creationId xmlns=""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409575</xdr:colOff>
      <xdr:row>0</xdr:row>
      <xdr:rowOff>95250</xdr:rowOff>
    </xdr:from>
    <xdr:to>
      <xdr:col>12</xdr:col>
      <xdr:colOff>519975</xdr:colOff>
      <xdr:row>3</xdr:row>
      <xdr:rowOff>72300</xdr:rowOff>
    </xdr:to>
    <xdr:pic>
      <xdr:nvPicPr>
        <xdr:cNvPr id="6" name="Picture 5">
          <a:extLst>
            <a:ext uri="{FF2B5EF4-FFF2-40B4-BE49-F238E27FC236}">
              <a16:creationId xmlns="" xmlns:a16="http://schemas.microsoft.com/office/drawing/2014/main" id="{00000000-0008-0000-1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51225" y="95250"/>
          <a:ext cx="720000" cy="72000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13</xdr:col>
      <xdr:colOff>619125</xdr:colOff>
      <xdr:row>0</xdr:row>
      <xdr:rowOff>66675</xdr:rowOff>
    </xdr:from>
    <xdr:to>
      <xdr:col>13</xdr:col>
      <xdr:colOff>1339125</xdr:colOff>
      <xdr:row>3</xdr:row>
      <xdr:rowOff>81825</xdr:rowOff>
    </xdr:to>
    <xdr:pic>
      <xdr:nvPicPr>
        <xdr:cNvPr id="3" name="Picture 2">
          <a:extLst>
            <a:ext uri="{FF2B5EF4-FFF2-40B4-BE49-F238E27FC236}">
              <a16:creationId xmlns="" xmlns:a16="http://schemas.microsoft.com/office/drawing/2014/main" id="{00000000-0008-0000-6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32100" y="66675"/>
          <a:ext cx="720000" cy="7200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57150</xdr:colOff>
      <xdr:row>0</xdr:row>
      <xdr:rowOff>104775</xdr:rowOff>
    </xdr:from>
    <xdr:to>
      <xdr:col>13</xdr:col>
      <xdr:colOff>514350</xdr:colOff>
      <xdr:row>35</xdr:row>
      <xdr:rowOff>66675</xdr:rowOff>
    </xdr:to>
    <xdr:graphicFrame macro="">
      <xdr:nvGraphicFramePr>
        <xdr:cNvPr id="4" name="Chart 4">
          <a:extLst>
            <a:ext uri="{FF2B5EF4-FFF2-40B4-BE49-F238E27FC236}">
              <a16:creationId xmlns="" xmlns:a16="http://schemas.microsoft.com/office/drawing/2014/main" id="{00000000-0008-0000-6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323850</xdr:colOff>
      <xdr:row>1</xdr:row>
      <xdr:rowOff>0</xdr:rowOff>
    </xdr:from>
    <xdr:to>
      <xdr:col>13</xdr:col>
      <xdr:colOff>434250</xdr:colOff>
      <xdr:row>5</xdr:row>
      <xdr:rowOff>72300</xdr:rowOff>
    </xdr:to>
    <xdr:pic>
      <xdr:nvPicPr>
        <xdr:cNvPr id="5" name="Picture 4">
          <a:extLst>
            <a:ext uri="{FF2B5EF4-FFF2-40B4-BE49-F238E27FC236}">
              <a16:creationId xmlns="" xmlns:a16="http://schemas.microsoft.com/office/drawing/2014/main" id="{00000000-0008-0000-6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27350" y="161925"/>
          <a:ext cx="720000" cy="7200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13</xdr:col>
      <xdr:colOff>609600</xdr:colOff>
      <xdr:row>0</xdr:row>
      <xdr:rowOff>95250</xdr:rowOff>
    </xdr:from>
    <xdr:to>
      <xdr:col>13</xdr:col>
      <xdr:colOff>1329600</xdr:colOff>
      <xdr:row>3</xdr:row>
      <xdr:rowOff>110400</xdr:rowOff>
    </xdr:to>
    <xdr:pic>
      <xdr:nvPicPr>
        <xdr:cNvPr id="3" name="Picture 2">
          <a:extLst>
            <a:ext uri="{FF2B5EF4-FFF2-40B4-BE49-F238E27FC236}">
              <a16:creationId xmlns="" xmlns:a16="http://schemas.microsoft.com/office/drawing/2014/main" id="{00000000-0008-0000-6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95250"/>
          <a:ext cx="720000" cy="7200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76200</xdr:colOff>
      <xdr:row>0</xdr:row>
      <xdr:rowOff>95250</xdr:rowOff>
    </xdr:from>
    <xdr:to>
      <xdr:col>13</xdr:col>
      <xdr:colOff>552450</xdr:colOff>
      <xdr:row>35</xdr:row>
      <xdr:rowOff>19050</xdr:rowOff>
    </xdr:to>
    <xdr:graphicFrame macro="">
      <xdr:nvGraphicFramePr>
        <xdr:cNvPr id="4" name="Chart 4">
          <a:extLst>
            <a:ext uri="{FF2B5EF4-FFF2-40B4-BE49-F238E27FC236}">
              <a16:creationId xmlns=""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352425</xdr:colOff>
      <xdr:row>0</xdr:row>
      <xdr:rowOff>104775</xdr:rowOff>
    </xdr:from>
    <xdr:to>
      <xdr:col>13</xdr:col>
      <xdr:colOff>462825</xdr:colOff>
      <xdr:row>5</xdr:row>
      <xdr:rowOff>15150</xdr:rowOff>
    </xdr:to>
    <xdr:pic>
      <xdr:nvPicPr>
        <xdr:cNvPr id="5" name="Picture 4">
          <a:extLst>
            <a:ext uri="{FF2B5EF4-FFF2-40B4-BE49-F238E27FC236}">
              <a16:creationId xmlns="" xmlns:a16="http://schemas.microsoft.com/office/drawing/2014/main" id="{00000000-0008-0000-6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98775" y="104775"/>
          <a:ext cx="720000" cy="7200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14</xdr:col>
      <xdr:colOff>628650</xdr:colOff>
      <xdr:row>0</xdr:row>
      <xdr:rowOff>104775</xdr:rowOff>
    </xdr:from>
    <xdr:to>
      <xdr:col>14</xdr:col>
      <xdr:colOff>1348650</xdr:colOff>
      <xdr:row>3</xdr:row>
      <xdr:rowOff>119925</xdr:rowOff>
    </xdr:to>
    <xdr:pic>
      <xdr:nvPicPr>
        <xdr:cNvPr id="3" name="Picture 2">
          <a:extLst>
            <a:ext uri="{FF2B5EF4-FFF2-40B4-BE49-F238E27FC236}">
              <a16:creationId xmlns="" xmlns:a16="http://schemas.microsoft.com/office/drawing/2014/main" id="{00000000-0008-0000-6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12975" y="104775"/>
          <a:ext cx="720000" cy="7200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a:extLst>
            <a:ext uri="{FF2B5EF4-FFF2-40B4-BE49-F238E27FC236}">
              <a16:creationId xmlns="" xmlns:a16="http://schemas.microsoft.com/office/drawing/2014/main" id="{00000000-0008-0000-6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295275</xdr:colOff>
      <xdr:row>0</xdr:row>
      <xdr:rowOff>152400</xdr:rowOff>
    </xdr:from>
    <xdr:to>
      <xdr:col>13</xdr:col>
      <xdr:colOff>405675</xdr:colOff>
      <xdr:row>5</xdr:row>
      <xdr:rowOff>62775</xdr:rowOff>
    </xdr:to>
    <xdr:pic>
      <xdr:nvPicPr>
        <xdr:cNvPr id="5" name="Picture 4">
          <a:extLst>
            <a:ext uri="{FF2B5EF4-FFF2-40B4-BE49-F238E27FC236}">
              <a16:creationId xmlns="" xmlns:a16="http://schemas.microsoft.com/office/drawing/2014/main" id="{00000000-0008-0000-6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55925" y="152400"/>
          <a:ext cx="720000" cy="7200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14</xdr:col>
      <xdr:colOff>600075</xdr:colOff>
      <xdr:row>0</xdr:row>
      <xdr:rowOff>95250</xdr:rowOff>
    </xdr:from>
    <xdr:to>
      <xdr:col>14</xdr:col>
      <xdr:colOff>1320075</xdr:colOff>
      <xdr:row>3</xdr:row>
      <xdr:rowOff>110400</xdr:rowOff>
    </xdr:to>
    <xdr:pic>
      <xdr:nvPicPr>
        <xdr:cNvPr id="3" name="Picture 2">
          <a:extLst>
            <a:ext uri="{FF2B5EF4-FFF2-40B4-BE49-F238E27FC236}">
              <a16:creationId xmlns="" xmlns:a16="http://schemas.microsoft.com/office/drawing/2014/main" id="{00000000-0008-0000-7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41550" y="95250"/>
          <a:ext cx="720000" cy="7200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a:extLst>
            <a:ext uri="{FF2B5EF4-FFF2-40B4-BE49-F238E27FC236}">
              <a16:creationId xmlns="" xmlns:a16="http://schemas.microsoft.com/office/drawing/2014/main" id="{00000000-0008-0000-7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304800</xdr:colOff>
      <xdr:row>0</xdr:row>
      <xdr:rowOff>104775</xdr:rowOff>
    </xdr:from>
    <xdr:to>
      <xdr:col>13</xdr:col>
      <xdr:colOff>415200</xdr:colOff>
      <xdr:row>5</xdr:row>
      <xdr:rowOff>15150</xdr:rowOff>
    </xdr:to>
    <xdr:pic>
      <xdr:nvPicPr>
        <xdr:cNvPr id="5" name="Picture 4">
          <a:extLst>
            <a:ext uri="{FF2B5EF4-FFF2-40B4-BE49-F238E27FC236}">
              <a16:creationId xmlns="" xmlns:a16="http://schemas.microsoft.com/office/drawing/2014/main" id="{00000000-0008-0000-7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46400" y="104775"/>
          <a:ext cx="720000" cy="7200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14</xdr:col>
      <xdr:colOff>609600</xdr:colOff>
      <xdr:row>0</xdr:row>
      <xdr:rowOff>133350</xdr:rowOff>
    </xdr:from>
    <xdr:to>
      <xdr:col>14</xdr:col>
      <xdr:colOff>1329600</xdr:colOff>
      <xdr:row>3</xdr:row>
      <xdr:rowOff>148500</xdr:rowOff>
    </xdr:to>
    <xdr:pic>
      <xdr:nvPicPr>
        <xdr:cNvPr id="3" name="Picture 2">
          <a:extLst>
            <a:ext uri="{FF2B5EF4-FFF2-40B4-BE49-F238E27FC236}">
              <a16:creationId xmlns="" xmlns:a16="http://schemas.microsoft.com/office/drawing/2014/main" id="{00000000-0008-0000-7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32025" y="133350"/>
          <a:ext cx="720000" cy="7200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66676</xdr:colOff>
      <xdr:row>0</xdr:row>
      <xdr:rowOff>142875</xdr:rowOff>
    </xdr:from>
    <xdr:to>
      <xdr:col>13</xdr:col>
      <xdr:colOff>476251</xdr:colOff>
      <xdr:row>35</xdr:row>
      <xdr:rowOff>114300</xdr:rowOff>
    </xdr:to>
    <xdr:graphicFrame macro="">
      <xdr:nvGraphicFramePr>
        <xdr:cNvPr id="4" name="Chart 4">
          <a:extLst>
            <a:ext uri="{FF2B5EF4-FFF2-40B4-BE49-F238E27FC236}">
              <a16:creationId xmlns="" xmlns:a16="http://schemas.microsoft.com/office/drawing/2014/main" id="{00000000-0008-0000-7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295275</xdr:colOff>
      <xdr:row>0</xdr:row>
      <xdr:rowOff>104775</xdr:rowOff>
    </xdr:from>
    <xdr:to>
      <xdr:col>13</xdr:col>
      <xdr:colOff>405675</xdr:colOff>
      <xdr:row>5</xdr:row>
      <xdr:rowOff>15150</xdr:rowOff>
    </xdr:to>
    <xdr:pic>
      <xdr:nvPicPr>
        <xdr:cNvPr id="5" name="Picture 4">
          <a:extLst>
            <a:ext uri="{FF2B5EF4-FFF2-40B4-BE49-F238E27FC236}">
              <a16:creationId xmlns="" xmlns:a16="http://schemas.microsoft.com/office/drawing/2014/main" id="{00000000-0008-0000-7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355925" y="104775"/>
          <a:ext cx="720000"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57150</xdr:colOff>
      <xdr:row>0</xdr:row>
      <xdr:rowOff>95250</xdr:rowOff>
    </xdr:from>
    <xdr:to>
      <xdr:col>13</xdr:col>
      <xdr:colOff>777150</xdr:colOff>
      <xdr:row>2</xdr:row>
      <xdr:rowOff>167550</xdr:rowOff>
    </xdr:to>
    <xdr:pic>
      <xdr:nvPicPr>
        <xdr:cNvPr id="4" name="Picture 3">
          <a:extLst>
            <a:ext uri="{FF2B5EF4-FFF2-40B4-BE49-F238E27FC236}">
              <a16:creationId xmlns=""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98775" y="95250"/>
          <a:ext cx="720000" cy="72000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11</xdr:col>
      <xdr:colOff>533400</xdr:colOff>
      <xdr:row>0</xdr:row>
      <xdr:rowOff>171450</xdr:rowOff>
    </xdr:from>
    <xdr:to>
      <xdr:col>11</xdr:col>
      <xdr:colOff>1253400</xdr:colOff>
      <xdr:row>3</xdr:row>
      <xdr:rowOff>158025</xdr:rowOff>
    </xdr:to>
    <xdr:pic>
      <xdr:nvPicPr>
        <xdr:cNvPr id="3" name="Picture 2">
          <a:extLst>
            <a:ext uri="{FF2B5EF4-FFF2-40B4-BE49-F238E27FC236}">
              <a16:creationId xmlns="" xmlns:a16="http://schemas.microsoft.com/office/drawing/2014/main" id="{00000000-0008-0000-7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32250" y="171450"/>
          <a:ext cx="720000" cy="7200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11</xdr:col>
      <xdr:colOff>533400</xdr:colOff>
      <xdr:row>0</xdr:row>
      <xdr:rowOff>123825</xdr:rowOff>
    </xdr:from>
    <xdr:to>
      <xdr:col>11</xdr:col>
      <xdr:colOff>1253400</xdr:colOff>
      <xdr:row>3</xdr:row>
      <xdr:rowOff>110400</xdr:rowOff>
    </xdr:to>
    <xdr:pic>
      <xdr:nvPicPr>
        <xdr:cNvPr id="3" name="Picture 2">
          <a:extLst>
            <a:ext uri="{FF2B5EF4-FFF2-40B4-BE49-F238E27FC236}">
              <a16:creationId xmlns="" xmlns:a16="http://schemas.microsoft.com/office/drawing/2014/main" id="{00000000-0008-0000-7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32250" y="123825"/>
          <a:ext cx="720000" cy="7200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11</xdr:col>
      <xdr:colOff>542925</xdr:colOff>
      <xdr:row>0</xdr:row>
      <xdr:rowOff>133350</xdr:rowOff>
    </xdr:from>
    <xdr:to>
      <xdr:col>11</xdr:col>
      <xdr:colOff>1262925</xdr:colOff>
      <xdr:row>3</xdr:row>
      <xdr:rowOff>119925</xdr:rowOff>
    </xdr:to>
    <xdr:pic>
      <xdr:nvPicPr>
        <xdr:cNvPr id="3" name="Picture 2">
          <a:extLst>
            <a:ext uri="{FF2B5EF4-FFF2-40B4-BE49-F238E27FC236}">
              <a16:creationId xmlns="" xmlns:a16="http://schemas.microsoft.com/office/drawing/2014/main" id="{00000000-0008-0000-7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22725" y="133350"/>
          <a:ext cx="720000" cy="7200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13</xdr:col>
      <xdr:colOff>828675</xdr:colOff>
      <xdr:row>0</xdr:row>
      <xdr:rowOff>66675</xdr:rowOff>
    </xdr:from>
    <xdr:to>
      <xdr:col>13</xdr:col>
      <xdr:colOff>1548675</xdr:colOff>
      <xdr:row>3</xdr:row>
      <xdr:rowOff>129450</xdr:rowOff>
    </xdr:to>
    <xdr:pic>
      <xdr:nvPicPr>
        <xdr:cNvPr id="3" name="Picture 2">
          <a:extLst>
            <a:ext uri="{FF2B5EF4-FFF2-40B4-BE49-F238E27FC236}">
              <a16:creationId xmlns="" xmlns:a16="http://schemas.microsoft.com/office/drawing/2014/main" id="{00000000-0008-0000-7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66675"/>
          <a:ext cx="720000" cy="7200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47625</xdr:colOff>
      <xdr:row>0</xdr:row>
      <xdr:rowOff>85725</xdr:rowOff>
    </xdr:from>
    <xdr:to>
      <xdr:col>12</xdr:col>
      <xdr:colOff>571500</xdr:colOff>
      <xdr:row>31</xdr:row>
      <xdr:rowOff>66675</xdr:rowOff>
    </xdr:to>
    <xdr:graphicFrame macro="">
      <xdr:nvGraphicFramePr>
        <xdr:cNvPr id="4" name="Chart 4">
          <a:extLst>
            <a:ext uri="{FF2B5EF4-FFF2-40B4-BE49-F238E27FC236}">
              <a16:creationId xmlns="" xmlns:a16="http://schemas.microsoft.com/office/drawing/2014/main" id="{00000000-0008-0000-7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438150</xdr:colOff>
      <xdr:row>0</xdr:row>
      <xdr:rowOff>114300</xdr:rowOff>
    </xdr:from>
    <xdr:to>
      <xdr:col>12</xdr:col>
      <xdr:colOff>548550</xdr:colOff>
      <xdr:row>5</xdr:row>
      <xdr:rowOff>24675</xdr:rowOff>
    </xdr:to>
    <xdr:pic>
      <xdr:nvPicPr>
        <xdr:cNvPr id="5" name="Picture 4">
          <a:extLst>
            <a:ext uri="{FF2B5EF4-FFF2-40B4-BE49-F238E27FC236}">
              <a16:creationId xmlns="" xmlns:a16="http://schemas.microsoft.com/office/drawing/2014/main" id="{00000000-0008-0000-78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22650" y="114300"/>
          <a:ext cx="720000" cy="7200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11</xdr:col>
      <xdr:colOff>571500</xdr:colOff>
      <xdr:row>0</xdr:row>
      <xdr:rowOff>123825</xdr:rowOff>
    </xdr:from>
    <xdr:to>
      <xdr:col>11</xdr:col>
      <xdr:colOff>1291500</xdr:colOff>
      <xdr:row>2</xdr:row>
      <xdr:rowOff>81825</xdr:rowOff>
    </xdr:to>
    <xdr:pic>
      <xdr:nvPicPr>
        <xdr:cNvPr id="3" name="Picture 2">
          <a:extLst>
            <a:ext uri="{FF2B5EF4-FFF2-40B4-BE49-F238E27FC236}">
              <a16:creationId xmlns="" xmlns:a16="http://schemas.microsoft.com/office/drawing/2014/main" id="{00000000-0008-0000-7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60825" y="123825"/>
          <a:ext cx="720000" cy="720000"/>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4</xdr:col>
      <xdr:colOff>1066800</xdr:colOff>
      <xdr:row>0</xdr:row>
      <xdr:rowOff>95250</xdr:rowOff>
    </xdr:from>
    <xdr:to>
      <xdr:col>4</xdr:col>
      <xdr:colOff>1786800</xdr:colOff>
      <xdr:row>2</xdr:row>
      <xdr:rowOff>43725</xdr:rowOff>
    </xdr:to>
    <xdr:pic>
      <xdr:nvPicPr>
        <xdr:cNvPr id="3" name="Picture 2">
          <a:extLst>
            <a:ext uri="{FF2B5EF4-FFF2-40B4-BE49-F238E27FC236}">
              <a16:creationId xmlns="" xmlns:a16="http://schemas.microsoft.com/office/drawing/2014/main" id="{00000000-0008-0000-7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737550" y="95250"/>
          <a:ext cx="720000" cy="7200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4</xdr:col>
      <xdr:colOff>819150</xdr:colOff>
      <xdr:row>0</xdr:row>
      <xdr:rowOff>85725</xdr:rowOff>
    </xdr:from>
    <xdr:to>
      <xdr:col>4</xdr:col>
      <xdr:colOff>1539150</xdr:colOff>
      <xdr:row>1</xdr:row>
      <xdr:rowOff>500925</xdr:rowOff>
    </xdr:to>
    <xdr:pic>
      <xdr:nvPicPr>
        <xdr:cNvPr id="3" name="Picture 2">
          <a:extLst>
            <a:ext uri="{FF2B5EF4-FFF2-40B4-BE49-F238E27FC236}">
              <a16:creationId xmlns="" xmlns:a16="http://schemas.microsoft.com/office/drawing/2014/main" id="{00000000-0008-0000-7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718500" y="85725"/>
          <a:ext cx="720000" cy="7200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a:extLst>
            <a:ext uri="{FF2B5EF4-FFF2-40B4-BE49-F238E27FC236}">
              <a16:creationId xmlns="" xmlns:a16="http://schemas.microsoft.com/office/drawing/2014/main" id="{00000000-0008-0000-7C00-000002000000}"/>
            </a:ext>
          </a:extLst>
        </xdr:cNvPr>
        <xdr:cNvGrpSpPr>
          <a:grpSpLocks/>
        </xdr:cNvGrpSpPr>
      </xdr:nvGrpSpPr>
      <xdr:grpSpPr bwMode="auto">
        <a:xfrm flipH="1">
          <a:off x="10734868548" y="155448"/>
          <a:ext cx="5015484" cy="2679192"/>
          <a:chOff x="0" y="17"/>
          <a:chExt cx="490" cy="293"/>
        </a:xfrm>
      </xdr:grpSpPr>
      <xdr:pic>
        <xdr:nvPicPr>
          <xdr:cNvPr id="3" name="Picture 2" descr="bor0019">
            <a:extLst>
              <a:ext uri="{FF2B5EF4-FFF2-40B4-BE49-F238E27FC236}">
                <a16:creationId xmlns="" xmlns:a16="http://schemas.microsoft.com/office/drawing/2014/main" id="{00000000-0008-0000-7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a:extLst>
              <a:ext uri="{FF2B5EF4-FFF2-40B4-BE49-F238E27FC236}">
                <a16:creationId xmlns="" xmlns:a16="http://schemas.microsoft.com/office/drawing/2014/main" id="{00000000-0008-0000-7C00-000004000000}"/>
              </a:ext>
            </a:extLst>
          </xdr:cNvPr>
          <xdr:cNvSpPr txBox="1">
            <a:spLocks noChangeArrowheads="1"/>
          </xdr:cNvSpPr>
        </xdr:nvSpPr>
        <xdr:spPr bwMode="auto">
          <a:xfrm>
            <a:off x="66" y="111"/>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2800" b="0" i="0" strike="noStrike">
                <a:solidFill>
                  <a:srgbClr val="0000FF"/>
                </a:solidFill>
                <a:cs typeface="Hesham Bold"/>
              </a:rPr>
              <a:t>المـــــلاحق</a:t>
            </a:r>
            <a:endParaRPr lang="ar-QA" sz="1000" b="0" i="0" strike="noStrike">
              <a:solidFill>
                <a:srgbClr val="0000FF"/>
              </a:solidFill>
              <a:latin typeface="Arial"/>
              <a:cs typeface="Arial"/>
            </a:endParaRPr>
          </a:p>
          <a:p>
            <a:pPr algn="ctr" rtl="0">
              <a:defRPr sz="1000"/>
            </a:pPr>
            <a:r>
              <a:rPr lang="en-US" sz="2000" b="0" i="0" strike="noStrike">
                <a:solidFill>
                  <a:srgbClr val="0000FF"/>
                </a:solidFill>
                <a:latin typeface="Arial Black"/>
              </a:rPr>
              <a:t>ANNECS</a:t>
            </a:r>
          </a:p>
        </xdr:txBody>
      </xdr:sp>
    </xdr:grp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85725</xdr:colOff>
      <xdr:row>1</xdr:row>
      <xdr:rowOff>180975</xdr:rowOff>
    </xdr:from>
    <xdr:to>
      <xdr:col>2</xdr:col>
      <xdr:colOff>1258980</xdr:colOff>
      <xdr:row>3</xdr:row>
      <xdr:rowOff>76200</xdr:rowOff>
    </xdr:to>
    <xdr:sp macro="" textlink="">
      <xdr:nvSpPr>
        <xdr:cNvPr id="2" name="Text Box 1">
          <a:extLst>
            <a:ext uri="{FF2B5EF4-FFF2-40B4-BE49-F238E27FC236}">
              <a16:creationId xmlns="" xmlns:a16="http://schemas.microsoft.com/office/drawing/2014/main" id="{00000000-0008-0000-7D00-000002000000}"/>
            </a:ext>
          </a:extLst>
        </xdr:cNvPr>
        <xdr:cNvSpPr txBox="1">
          <a:spLocks noChangeArrowheads="1"/>
        </xdr:cNvSpPr>
      </xdr:nvSpPr>
      <xdr:spPr bwMode="auto">
        <a:xfrm>
          <a:off x="9985855920" y="371475"/>
          <a:ext cx="17447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الإحصاءات</a:t>
          </a:r>
          <a:r>
            <a:rPr lang="ar-QA" sz="1000" b="1" i="0" strike="noStrike" baseline="0">
              <a:solidFill>
                <a:srgbClr val="000000"/>
              </a:solidFill>
              <a:latin typeface="Arial"/>
              <a:cs typeface="Arial"/>
            </a:rPr>
            <a:t> الرسمية</a:t>
          </a:r>
          <a:endParaRPr lang="ar-QA" sz="1000" b="1" i="0" strike="noStrike">
            <a:solidFill>
              <a:srgbClr val="000000"/>
            </a:solidFill>
            <a:latin typeface="Arial"/>
            <a:cs typeface="Arial"/>
          </a:endParaRPr>
        </a:p>
      </xdr:txBody>
    </xdr:sp>
    <xdr:clientData/>
  </xdr:twoCellAnchor>
  <xdr:twoCellAnchor>
    <xdr:from>
      <xdr:col>5</xdr:col>
      <xdr:colOff>306479</xdr:colOff>
      <xdr:row>2</xdr:row>
      <xdr:rowOff>19050</xdr:rowOff>
    </xdr:from>
    <xdr:to>
      <xdr:col>7</xdr:col>
      <xdr:colOff>449355</xdr:colOff>
      <xdr:row>3</xdr:row>
      <xdr:rowOff>104775</xdr:rowOff>
    </xdr:to>
    <xdr:sp macro="" textlink="">
      <xdr:nvSpPr>
        <xdr:cNvPr id="3" name="Text Box 1">
          <a:extLst>
            <a:ext uri="{FF2B5EF4-FFF2-40B4-BE49-F238E27FC236}">
              <a16:creationId xmlns="" xmlns:a16="http://schemas.microsoft.com/office/drawing/2014/main" id="{00000000-0008-0000-7D00-000003000000}"/>
            </a:ext>
          </a:extLst>
        </xdr:cNvPr>
        <xdr:cNvSpPr txBox="1">
          <a:spLocks noChangeArrowheads="1"/>
        </xdr:cNvSpPr>
      </xdr:nvSpPr>
      <xdr:spPr bwMode="auto">
        <a:xfrm>
          <a:off x="9982969845" y="400050"/>
          <a:ext cx="1362076"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Official Statistics Law</a:t>
          </a:r>
          <a:endParaRPr lang="en-US" sz="800">
            <a:latin typeface="+mn-lt"/>
            <a:ea typeface="+mn-ea"/>
            <a:cs typeface="+mn-cs"/>
          </a:endParaRPr>
        </a:p>
      </xdr:txBody>
    </xdr:sp>
    <xdr:clientData/>
  </xdr:twoCellAnchor>
  <xdr:twoCellAnchor editAs="oneCell">
    <xdr:from>
      <xdr:col>6</xdr:col>
      <xdr:colOff>904875</xdr:colOff>
      <xdr:row>0</xdr:row>
      <xdr:rowOff>133350</xdr:rowOff>
    </xdr:from>
    <xdr:to>
      <xdr:col>7</xdr:col>
      <xdr:colOff>510450</xdr:colOff>
      <xdr:row>0</xdr:row>
      <xdr:rowOff>853350</xdr:rowOff>
    </xdr:to>
    <xdr:pic>
      <xdr:nvPicPr>
        <xdr:cNvPr id="5" name="Picture 4">
          <a:extLst>
            <a:ext uri="{FF2B5EF4-FFF2-40B4-BE49-F238E27FC236}">
              <a16:creationId xmlns="" xmlns:a16="http://schemas.microsoft.com/office/drawing/2014/main" id="{00000000-0008-0000-7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908750" y="133350"/>
          <a:ext cx="720000" cy="7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12</xdr:col>
      <xdr:colOff>571500</xdr:colOff>
      <xdr:row>32</xdr:row>
      <xdr:rowOff>152400</xdr:rowOff>
    </xdr:to>
    <xdr:graphicFrame macro="">
      <xdr:nvGraphicFramePr>
        <xdr:cNvPr id="4" name="Chart 4">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304800</xdr:colOff>
      <xdr:row>0</xdr:row>
      <xdr:rowOff>76200</xdr:rowOff>
    </xdr:from>
    <xdr:to>
      <xdr:col>12</xdr:col>
      <xdr:colOff>415200</xdr:colOff>
      <xdr:row>3</xdr:row>
      <xdr:rowOff>138975</xdr:rowOff>
    </xdr:to>
    <xdr:pic>
      <xdr:nvPicPr>
        <xdr:cNvPr id="6" name="Picture 5">
          <a:extLst>
            <a:ext uri="{FF2B5EF4-FFF2-40B4-BE49-F238E27FC236}">
              <a16:creationId xmlns="" xmlns:a16="http://schemas.microsoft.com/office/drawing/2014/main" id="{00000000-0008-0000-12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56000" y="76200"/>
          <a:ext cx="720000" cy="720000"/>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84046</xdr:colOff>
      <xdr:row>1</xdr:row>
      <xdr:rowOff>172571</xdr:rowOff>
    </xdr:from>
    <xdr:to>
      <xdr:col>2</xdr:col>
      <xdr:colOff>1257301</xdr:colOff>
      <xdr:row>3</xdr:row>
      <xdr:rowOff>67796</xdr:rowOff>
    </xdr:to>
    <xdr:sp macro="" textlink="">
      <xdr:nvSpPr>
        <xdr:cNvPr id="2" name="Text Box 1">
          <a:extLst>
            <a:ext uri="{FF2B5EF4-FFF2-40B4-BE49-F238E27FC236}">
              <a16:creationId xmlns="" xmlns:a16="http://schemas.microsoft.com/office/drawing/2014/main" id="{00000000-0008-0000-7E00-000002000000}"/>
            </a:ext>
          </a:extLst>
        </xdr:cNvPr>
        <xdr:cNvSpPr txBox="1">
          <a:spLocks noChangeArrowheads="1"/>
        </xdr:cNvSpPr>
      </xdr:nvSpPr>
      <xdr:spPr bwMode="auto">
        <a:xfrm>
          <a:off x="9985857599" y="363071"/>
          <a:ext cx="1744755"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defRPr sz="1000"/>
          </a:pPr>
          <a:r>
            <a:rPr lang="ar-QA" sz="1000" b="1" i="0" strike="noStrike">
              <a:solidFill>
                <a:srgbClr val="000000"/>
              </a:solidFill>
              <a:latin typeface="Arial"/>
              <a:cs typeface="Arial"/>
            </a:rPr>
            <a:t>البيانات سرية بحكم قانون الإحصاءات</a:t>
          </a:r>
          <a:r>
            <a:rPr lang="ar-QA" sz="1000" b="1" i="0" strike="noStrike" baseline="0">
              <a:solidFill>
                <a:srgbClr val="000000"/>
              </a:solidFill>
              <a:latin typeface="Arial"/>
              <a:cs typeface="Arial"/>
            </a:rPr>
            <a:t> الرسمية</a:t>
          </a:r>
          <a:endParaRPr lang="ar-QA" sz="1000" b="1" i="0" strike="noStrike">
            <a:solidFill>
              <a:srgbClr val="000000"/>
            </a:solidFill>
            <a:latin typeface="Arial"/>
            <a:cs typeface="Arial"/>
          </a:endParaRPr>
        </a:p>
      </xdr:txBody>
    </xdr:sp>
    <xdr:clientData/>
  </xdr:twoCellAnchor>
  <xdr:twoCellAnchor>
    <xdr:from>
      <xdr:col>5</xdr:col>
      <xdr:colOff>381000</xdr:colOff>
      <xdr:row>2</xdr:row>
      <xdr:rowOff>10646</xdr:rowOff>
    </xdr:from>
    <xdr:to>
      <xdr:col>7</xdr:col>
      <xdr:colOff>523876</xdr:colOff>
      <xdr:row>3</xdr:row>
      <xdr:rowOff>96371</xdr:rowOff>
    </xdr:to>
    <xdr:sp macro="" textlink="">
      <xdr:nvSpPr>
        <xdr:cNvPr id="3" name="Text Box 1">
          <a:extLst>
            <a:ext uri="{FF2B5EF4-FFF2-40B4-BE49-F238E27FC236}">
              <a16:creationId xmlns="" xmlns:a16="http://schemas.microsoft.com/office/drawing/2014/main" id="{00000000-0008-0000-7E00-000003000000}"/>
            </a:ext>
          </a:extLst>
        </xdr:cNvPr>
        <xdr:cNvSpPr txBox="1">
          <a:spLocks noChangeArrowheads="1"/>
        </xdr:cNvSpPr>
      </xdr:nvSpPr>
      <xdr:spPr bwMode="auto">
        <a:xfrm>
          <a:off x="9982895324" y="391646"/>
          <a:ext cx="1362076" cy="276225"/>
        </a:xfrm>
        <a:prstGeom prst="rect">
          <a:avLst/>
        </a:prstGeom>
        <a:solidFill>
          <a:srgbClr val="FFFFFF"/>
        </a:solidFill>
        <a:ln w="38100" cmpd="dbl">
          <a:solidFill>
            <a:srgbClr val="000000"/>
          </a:solidFill>
          <a:miter lim="800000"/>
          <a:headEnd/>
          <a:tailEnd/>
        </a:ln>
      </xdr:spPr>
      <xdr:txBody>
        <a:bodyPr vertOverflow="clip" wrap="square" lIns="27432" tIns="22860" rIns="27432" bIns="22860" anchor="ctr" upright="1"/>
        <a:lstStyle/>
        <a:p>
          <a:pPr algn="ctr" rtl="0"/>
          <a:r>
            <a:rPr lang="en-US" sz="800" b="1" i="0">
              <a:latin typeface="+mn-lt"/>
              <a:ea typeface="+mn-ea"/>
              <a:cs typeface="+mn-cs"/>
            </a:rPr>
            <a:t>Data</a:t>
          </a:r>
          <a:r>
            <a:rPr lang="en-US" sz="800" b="1" i="0" baseline="0">
              <a:latin typeface="+mn-lt"/>
              <a:ea typeface="+mn-ea"/>
              <a:cs typeface="+mn-cs"/>
            </a:rPr>
            <a:t> are confidential by virtue of the  Official Statistics Law</a:t>
          </a:r>
          <a:endParaRPr lang="en-US" sz="800">
            <a:latin typeface="+mn-lt"/>
            <a:ea typeface="+mn-ea"/>
            <a:cs typeface="+mn-cs"/>
          </a:endParaRPr>
        </a:p>
      </xdr:txBody>
    </xdr:sp>
    <xdr:clientData/>
  </xdr:twoCellAnchor>
  <xdr:twoCellAnchor editAs="oneCell">
    <xdr:from>
      <xdr:col>6</xdr:col>
      <xdr:colOff>923925</xdr:colOff>
      <xdr:row>0</xdr:row>
      <xdr:rowOff>161925</xdr:rowOff>
    </xdr:from>
    <xdr:to>
      <xdr:col>7</xdr:col>
      <xdr:colOff>529500</xdr:colOff>
      <xdr:row>1</xdr:row>
      <xdr:rowOff>5625</xdr:rowOff>
    </xdr:to>
    <xdr:pic>
      <xdr:nvPicPr>
        <xdr:cNvPr id="5" name="Picture 4">
          <a:extLst>
            <a:ext uri="{FF2B5EF4-FFF2-40B4-BE49-F238E27FC236}">
              <a16:creationId xmlns="" xmlns:a16="http://schemas.microsoft.com/office/drawing/2014/main" id="{00000000-0008-0000-7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89700" y="161925"/>
          <a:ext cx="720000"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24</xdr:col>
      <xdr:colOff>114300</xdr:colOff>
      <xdr:row>0</xdr:row>
      <xdr:rowOff>114300</xdr:rowOff>
    </xdr:from>
    <xdr:to>
      <xdr:col>24</xdr:col>
      <xdr:colOff>834300</xdr:colOff>
      <xdr:row>3</xdr:row>
      <xdr:rowOff>119925</xdr:rowOff>
    </xdr:to>
    <xdr:pic>
      <xdr:nvPicPr>
        <xdr:cNvPr id="3" name="Picture 2">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2564600" y="114300"/>
          <a:ext cx="720000" cy="72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9</xdr:col>
      <xdr:colOff>563933</xdr:colOff>
      <xdr:row>53</xdr:row>
      <xdr:rowOff>28575</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77" t="517" r="879" b="829"/>
        <a:stretch/>
      </xdr:blipFill>
      <xdr:spPr>
        <a:xfrm>
          <a:off x="9981636067" y="47625"/>
          <a:ext cx="5993183" cy="8562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295275</xdr:colOff>
      <xdr:row>0</xdr:row>
      <xdr:rowOff>76200</xdr:rowOff>
    </xdr:from>
    <xdr:to>
      <xdr:col>7</xdr:col>
      <xdr:colOff>1015275</xdr:colOff>
      <xdr:row>2</xdr:row>
      <xdr:rowOff>110400</xdr:rowOff>
    </xdr:to>
    <xdr:pic>
      <xdr:nvPicPr>
        <xdr:cNvPr id="4" name="Picture 3">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70650" y="76200"/>
          <a:ext cx="720000"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762000</xdr:colOff>
      <xdr:row>0</xdr:row>
      <xdr:rowOff>66675</xdr:rowOff>
    </xdr:from>
    <xdr:to>
      <xdr:col>9</xdr:col>
      <xdr:colOff>1482000</xdr:colOff>
      <xdr:row>3</xdr:row>
      <xdr:rowOff>81825</xdr:rowOff>
    </xdr:to>
    <xdr:pic>
      <xdr:nvPicPr>
        <xdr:cNvPr id="4" name="Picture 3">
          <a:extLst>
            <a:ext uri="{FF2B5EF4-FFF2-40B4-BE49-F238E27FC236}">
              <a16:creationId xmlns=""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689550" y="66675"/>
          <a:ext cx="720000"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247650</xdr:colOff>
      <xdr:row>0</xdr:row>
      <xdr:rowOff>104776</xdr:rowOff>
    </xdr:from>
    <xdr:to>
      <xdr:col>12</xdr:col>
      <xdr:colOff>400050</xdr:colOff>
      <xdr:row>29</xdr:row>
      <xdr:rowOff>19051</xdr:rowOff>
    </xdr:to>
    <xdr:graphicFrame macro="">
      <xdr:nvGraphicFramePr>
        <xdr:cNvPr id="4" name="Chart 4">
          <a:extLst>
            <a:ext uri="{FF2B5EF4-FFF2-40B4-BE49-F238E27FC236}">
              <a16:creationId xmlns=""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152400</xdr:colOff>
      <xdr:row>0</xdr:row>
      <xdr:rowOff>133350</xdr:rowOff>
    </xdr:from>
    <xdr:to>
      <xdr:col>12</xdr:col>
      <xdr:colOff>262800</xdr:colOff>
      <xdr:row>5</xdr:row>
      <xdr:rowOff>43725</xdr:rowOff>
    </xdr:to>
    <xdr:pic>
      <xdr:nvPicPr>
        <xdr:cNvPr id="6" name="Picture 5">
          <a:extLst>
            <a:ext uri="{FF2B5EF4-FFF2-40B4-BE49-F238E27FC236}">
              <a16:creationId xmlns="" xmlns:a16="http://schemas.microsoft.com/office/drawing/2014/main" id="{00000000-0008-0000-1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108400" y="133350"/>
          <a:ext cx="720000"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16</xdr:col>
      <xdr:colOff>895350</xdr:colOff>
      <xdr:row>0</xdr:row>
      <xdr:rowOff>76200</xdr:rowOff>
    </xdr:from>
    <xdr:to>
      <xdr:col>16</xdr:col>
      <xdr:colOff>1615350</xdr:colOff>
      <xdr:row>3</xdr:row>
      <xdr:rowOff>91350</xdr:rowOff>
    </xdr:to>
    <xdr:pic>
      <xdr:nvPicPr>
        <xdr:cNvPr id="4" name="Picture 3">
          <a:extLst>
            <a:ext uri="{FF2B5EF4-FFF2-40B4-BE49-F238E27FC236}">
              <a16:creationId xmlns=""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7422350" y="76200"/>
          <a:ext cx="720000"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1000125</xdr:colOff>
      <xdr:row>0</xdr:row>
      <xdr:rowOff>85725</xdr:rowOff>
    </xdr:from>
    <xdr:to>
      <xdr:col>13</xdr:col>
      <xdr:colOff>1720125</xdr:colOff>
      <xdr:row>3</xdr:row>
      <xdr:rowOff>100875</xdr:rowOff>
    </xdr:to>
    <xdr:pic>
      <xdr:nvPicPr>
        <xdr:cNvPr id="4" name="Picture 3">
          <a:extLst>
            <a:ext uri="{FF2B5EF4-FFF2-40B4-BE49-F238E27FC236}">
              <a16:creationId xmlns=""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13050" y="85725"/>
          <a:ext cx="720000"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38101</xdr:colOff>
      <xdr:row>0</xdr:row>
      <xdr:rowOff>38101</xdr:rowOff>
    </xdr:from>
    <xdr:to>
      <xdr:col>10</xdr:col>
      <xdr:colOff>523876</xdr:colOff>
      <xdr:row>60</xdr:row>
      <xdr:rowOff>123825</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2" t="1610" r="535" b="1515"/>
        <a:stretch/>
      </xdr:blipFill>
      <xdr:spPr>
        <a:xfrm>
          <a:off x="9981066524" y="38101"/>
          <a:ext cx="6581775" cy="98012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13</xdr:col>
      <xdr:colOff>809625</xdr:colOff>
      <xdr:row>0</xdr:row>
      <xdr:rowOff>95250</xdr:rowOff>
    </xdr:from>
    <xdr:to>
      <xdr:col>13</xdr:col>
      <xdr:colOff>1529625</xdr:colOff>
      <xdr:row>3</xdr:row>
      <xdr:rowOff>110400</xdr:rowOff>
    </xdr:to>
    <xdr:pic>
      <xdr:nvPicPr>
        <xdr:cNvPr id="4" name="Picture 3">
          <a:extLst>
            <a:ext uri="{FF2B5EF4-FFF2-40B4-BE49-F238E27FC236}">
              <a16:creationId xmlns=""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194000" y="95250"/>
          <a:ext cx="720000"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800100</xdr:colOff>
      <xdr:row>0</xdr:row>
      <xdr:rowOff>123825</xdr:rowOff>
    </xdr:from>
    <xdr:to>
      <xdr:col>13</xdr:col>
      <xdr:colOff>1520100</xdr:colOff>
      <xdr:row>3</xdr:row>
      <xdr:rowOff>138975</xdr:rowOff>
    </xdr:to>
    <xdr:pic>
      <xdr:nvPicPr>
        <xdr:cNvPr id="4" name="Picture 3">
          <a:extLst>
            <a:ext uri="{FF2B5EF4-FFF2-40B4-BE49-F238E27FC236}">
              <a16:creationId xmlns="" xmlns:a16="http://schemas.microsoft.com/office/drawing/2014/main" id="{00000000-0008-0000-1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194000" y="123825"/>
          <a:ext cx="720000" cy="7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13</xdr:col>
      <xdr:colOff>809625</xdr:colOff>
      <xdr:row>0</xdr:row>
      <xdr:rowOff>95250</xdr:rowOff>
    </xdr:from>
    <xdr:to>
      <xdr:col>13</xdr:col>
      <xdr:colOff>1529625</xdr:colOff>
      <xdr:row>3</xdr:row>
      <xdr:rowOff>110400</xdr:rowOff>
    </xdr:to>
    <xdr:pic>
      <xdr:nvPicPr>
        <xdr:cNvPr id="4" name="Picture 3">
          <a:extLst>
            <a:ext uri="{FF2B5EF4-FFF2-40B4-BE49-F238E27FC236}">
              <a16:creationId xmlns=""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194000" y="95250"/>
          <a:ext cx="720000" cy="72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800100</xdr:colOff>
      <xdr:row>0</xdr:row>
      <xdr:rowOff>95250</xdr:rowOff>
    </xdr:from>
    <xdr:to>
      <xdr:col>7</xdr:col>
      <xdr:colOff>1520100</xdr:colOff>
      <xdr:row>3</xdr:row>
      <xdr:rowOff>110400</xdr:rowOff>
    </xdr:to>
    <xdr:pic>
      <xdr:nvPicPr>
        <xdr:cNvPr id="4" name="Picture 3">
          <a:extLst>
            <a:ext uri="{FF2B5EF4-FFF2-40B4-BE49-F238E27FC236}">
              <a16:creationId xmlns=""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1125" y="95250"/>
          <a:ext cx="720000" cy="72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790575</xdr:colOff>
      <xdr:row>0</xdr:row>
      <xdr:rowOff>142875</xdr:rowOff>
    </xdr:from>
    <xdr:to>
      <xdr:col>7</xdr:col>
      <xdr:colOff>1510575</xdr:colOff>
      <xdr:row>3</xdr:row>
      <xdr:rowOff>158025</xdr:rowOff>
    </xdr:to>
    <xdr:pic>
      <xdr:nvPicPr>
        <xdr:cNvPr id="4" name="Picture 3">
          <a:extLst>
            <a:ext uri="{FF2B5EF4-FFF2-40B4-BE49-F238E27FC236}">
              <a16:creationId xmlns="" xmlns:a16="http://schemas.microsoft.com/office/drawing/2014/main" id="{00000000-0008-0000-1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70650" y="142875"/>
          <a:ext cx="720000"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809625</xdr:colOff>
      <xdr:row>0</xdr:row>
      <xdr:rowOff>85725</xdr:rowOff>
    </xdr:from>
    <xdr:to>
      <xdr:col>7</xdr:col>
      <xdr:colOff>1529625</xdr:colOff>
      <xdr:row>3</xdr:row>
      <xdr:rowOff>100875</xdr:rowOff>
    </xdr:to>
    <xdr:pic>
      <xdr:nvPicPr>
        <xdr:cNvPr id="4" name="Picture 3">
          <a:extLst>
            <a:ext uri="{FF2B5EF4-FFF2-40B4-BE49-F238E27FC236}">
              <a16:creationId xmlns=""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51600" y="85725"/>
          <a:ext cx="720000" cy="72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7</xdr:col>
      <xdr:colOff>857250</xdr:colOff>
      <xdr:row>0</xdr:row>
      <xdr:rowOff>85725</xdr:rowOff>
    </xdr:from>
    <xdr:to>
      <xdr:col>7</xdr:col>
      <xdr:colOff>1577250</xdr:colOff>
      <xdr:row>3</xdr:row>
      <xdr:rowOff>100875</xdr:rowOff>
    </xdr:to>
    <xdr:pic>
      <xdr:nvPicPr>
        <xdr:cNvPr id="4" name="Picture 3">
          <a:extLst>
            <a:ext uri="{FF2B5EF4-FFF2-40B4-BE49-F238E27FC236}">
              <a16:creationId xmlns=""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51600" y="85725"/>
          <a:ext cx="720000" cy="72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847725</xdr:colOff>
      <xdr:row>0</xdr:row>
      <xdr:rowOff>95250</xdr:rowOff>
    </xdr:from>
    <xdr:to>
      <xdr:col>7</xdr:col>
      <xdr:colOff>1567725</xdr:colOff>
      <xdr:row>3</xdr:row>
      <xdr:rowOff>110400</xdr:rowOff>
    </xdr:to>
    <xdr:pic>
      <xdr:nvPicPr>
        <xdr:cNvPr id="4" name="Picture 3">
          <a:extLst>
            <a:ext uri="{FF2B5EF4-FFF2-40B4-BE49-F238E27FC236}">
              <a16:creationId xmlns=""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1125" y="95250"/>
          <a:ext cx="720000" cy="72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828675</xdr:colOff>
      <xdr:row>0</xdr:row>
      <xdr:rowOff>85725</xdr:rowOff>
    </xdr:from>
    <xdr:to>
      <xdr:col>7</xdr:col>
      <xdr:colOff>1548675</xdr:colOff>
      <xdr:row>3</xdr:row>
      <xdr:rowOff>100875</xdr:rowOff>
    </xdr:to>
    <xdr:pic>
      <xdr:nvPicPr>
        <xdr:cNvPr id="4" name="Picture 3">
          <a:extLst>
            <a:ext uri="{FF2B5EF4-FFF2-40B4-BE49-F238E27FC236}">
              <a16:creationId xmlns="" xmlns:a16="http://schemas.microsoft.com/office/drawing/2014/main" id="{00000000-0008-0000-2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80175" y="85725"/>
          <a:ext cx="720000" cy="72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847725</xdr:colOff>
      <xdr:row>0</xdr:row>
      <xdr:rowOff>85725</xdr:rowOff>
    </xdr:from>
    <xdr:to>
      <xdr:col>6</xdr:col>
      <xdr:colOff>1567725</xdr:colOff>
      <xdr:row>3</xdr:row>
      <xdr:rowOff>100875</xdr:rowOff>
    </xdr:to>
    <xdr:pic>
      <xdr:nvPicPr>
        <xdr:cNvPr id="4" name="Picture 3">
          <a:extLst>
            <a:ext uri="{FF2B5EF4-FFF2-40B4-BE49-F238E27FC236}">
              <a16:creationId xmlns=""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470725" y="85725"/>
          <a:ext cx="720000"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1">
          <a:extLst>
            <a:ext uri="{FF2B5EF4-FFF2-40B4-BE49-F238E27FC236}">
              <a16:creationId xmlns="" xmlns:a16="http://schemas.microsoft.com/office/drawing/2014/main" id="{00000000-0008-0000-0900-000002000000}"/>
            </a:ext>
          </a:extLst>
        </xdr:cNvPr>
        <xdr:cNvGrpSpPr>
          <a:grpSpLocks/>
        </xdr:cNvGrpSpPr>
      </xdr:nvGrpSpPr>
      <xdr:grpSpPr bwMode="auto">
        <a:xfrm flipH="1">
          <a:off x="10734868548" y="155448"/>
          <a:ext cx="5015484" cy="2679192"/>
          <a:chOff x="0" y="17"/>
          <a:chExt cx="490" cy="293"/>
        </a:xfrm>
      </xdr:grpSpPr>
      <xdr:pic>
        <xdr:nvPicPr>
          <xdr:cNvPr id="3" name="Picture 2" descr="bor0019">
            <a:extLst>
              <a:ext uri="{FF2B5EF4-FFF2-40B4-BE49-F238E27FC236}">
                <a16:creationId xmlns=""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a:extLst>
              <a:ext uri="{FF2B5EF4-FFF2-40B4-BE49-F238E27FC236}">
                <a16:creationId xmlns="" xmlns:a16="http://schemas.microsoft.com/office/drawing/2014/main" id="{00000000-0008-0000-0900-000004000000}"/>
              </a:ext>
            </a:extLst>
          </xdr:cNvPr>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3200" b="1" i="0" strike="noStrike">
                <a:solidFill>
                  <a:srgbClr val="0000FF"/>
                </a:solidFill>
                <a:latin typeface="Sakkal Majalla" panose="02000000000000000000" pitchFamily="2" charset="-78"/>
                <a:cs typeface="Sakkal Majalla" panose="02000000000000000000" pitchFamily="2" charset="-78"/>
              </a:rPr>
              <a:t>البـــاب الأول : الـــزواج</a:t>
            </a:r>
          </a:p>
          <a:p>
            <a:pPr algn="ctr" rtl="0">
              <a:defRPr sz="1000"/>
            </a:pPr>
            <a:r>
              <a:rPr lang="en-US" sz="2000" b="1" i="0" strike="noStrike">
                <a:solidFill>
                  <a:srgbClr val="0000FF"/>
                </a:solidFill>
                <a:latin typeface="Arial" panose="020B0604020202020204" pitchFamily="34" charset="0"/>
                <a:cs typeface="Arial" panose="020B0604020202020204" pitchFamily="34" charset="0"/>
              </a:rPr>
              <a:t>FIRST SECTION</a:t>
            </a:r>
            <a:r>
              <a:rPr lang="ar-QA" sz="2000" b="1" i="0" strike="noStrike">
                <a:solidFill>
                  <a:srgbClr val="0000FF"/>
                </a:solidFill>
                <a:latin typeface="Arial" panose="020B0604020202020204" pitchFamily="34" charset="0"/>
                <a:cs typeface="Arial" panose="020B0604020202020204" pitchFamily="34" charset="0"/>
              </a:rPr>
              <a:t> </a:t>
            </a:r>
            <a:r>
              <a:rPr lang="en-US" sz="2000" b="1" i="0" strike="noStrike">
                <a:solidFill>
                  <a:srgbClr val="0000FF"/>
                </a:solidFill>
                <a:latin typeface="Arial" panose="020B0604020202020204" pitchFamily="34" charset="0"/>
                <a:cs typeface="Arial" panose="020B0604020202020204" pitchFamily="34" charset="0"/>
              </a:rPr>
              <a:t>: MARRIAGES</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847725</xdr:colOff>
      <xdr:row>0</xdr:row>
      <xdr:rowOff>66675</xdr:rowOff>
    </xdr:from>
    <xdr:to>
      <xdr:col>6</xdr:col>
      <xdr:colOff>1567725</xdr:colOff>
      <xdr:row>3</xdr:row>
      <xdr:rowOff>81825</xdr:rowOff>
    </xdr:to>
    <xdr:pic>
      <xdr:nvPicPr>
        <xdr:cNvPr id="4" name="Picture 3">
          <a:extLst>
            <a:ext uri="{FF2B5EF4-FFF2-40B4-BE49-F238E27FC236}">
              <a16:creationId xmlns="" xmlns:a16="http://schemas.microsoft.com/office/drawing/2014/main" id="{00000000-0008-0000-2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470725" y="66675"/>
          <a:ext cx="720000" cy="72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838200</xdr:colOff>
      <xdr:row>0</xdr:row>
      <xdr:rowOff>104775</xdr:rowOff>
    </xdr:from>
    <xdr:to>
      <xdr:col>6</xdr:col>
      <xdr:colOff>1558200</xdr:colOff>
      <xdr:row>3</xdr:row>
      <xdr:rowOff>119925</xdr:rowOff>
    </xdr:to>
    <xdr:pic>
      <xdr:nvPicPr>
        <xdr:cNvPr id="4" name="Picture 3">
          <a:extLst>
            <a:ext uri="{FF2B5EF4-FFF2-40B4-BE49-F238E27FC236}">
              <a16:creationId xmlns="" xmlns:a16="http://schemas.microsoft.com/office/drawing/2014/main" id="{00000000-0008-0000-2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3480250" y="104775"/>
          <a:ext cx="720000" cy="72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933450</xdr:colOff>
      <xdr:row>0</xdr:row>
      <xdr:rowOff>76200</xdr:rowOff>
    </xdr:from>
    <xdr:to>
      <xdr:col>5</xdr:col>
      <xdr:colOff>1653450</xdr:colOff>
      <xdr:row>3</xdr:row>
      <xdr:rowOff>91350</xdr:rowOff>
    </xdr:to>
    <xdr:pic>
      <xdr:nvPicPr>
        <xdr:cNvPr id="4" name="Picture 3">
          <a:extLst>
            <a:ext uri="{FF2B5EF4-FFF2-40B4-BE49-F238E27FC236}">
              <a16:creationId xmlns="" xmlns:a16="http://schemas.microsoft.com/office/drawing/2014/main" id="{00000000-0008-0000-2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18425" y="76200"/>
          <a:ext cx="720000" cy="72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923925</xdr:colOff>
      <xdr:row>0</xdr:row>
      <xdr:rowOff>57150</xdr:rowOff>
    </xdr:from>
    <xdr:to>
      <xdr:col>5</xdr:col>
      <xdr:colOff>1643925</xdr:colOff>
      <xdr:row>3</xdr:row>
      <xdr:rowOff>72300</xdr:rowOff>
    </xdr:to>
    <xdr:pic>
      <xdr:nvPicPr>
        <xdr:cNvPr id="4" name="Picture 3">
          <a:extLst>
            <a:ext uri="{FF2B5EF4-FFF2-40B4-BE49-F238E27FC236}">
              <a16:creationId xmlns="" xmlns:a16="http://schemas.microsoft.com/office/drawing/2014/main" id="{00000000-0008-0000-2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27950" y="57150"/>
          <a:ext cx="720000" cy="72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942975</xdr:colOff>
      <xdr:row>0</xdr:row>
      <xdr:rowOff>114300</xdr:rowOff>
    </xdr:from>
    <xdr:to>
      <xdr:col>5</xdr:col>
      <xdr:colOff>1662975</xdr:colOff>
      <xdr:row>3</xdr:row>
      <xdr:rowOff>129450</xdr:rowOff>
    </xdr:to>
    <xdr:pic>
      <xdr:nvPicPr>
        <xdr:cNvPr id="4" name="Picture 3">
          <a:extLst>
            <a:ext uri="{FF2B5EF4-FFF2-40B4-BE49-F238E27FC236}">
              <a16:creationId xmlns="" xmlns:a16="http://schemas.microsoft.com/office/drawing/2014/main" id="{00000000-0008-0000-2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08900" y="114300"/>
          <a:ext cx="720000" cy="72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495300</xdr:colOff>
      <xdr:row>0</xdr:row>
      <xdr:rowOff>85725</xdr:rowOff>
    </xdr:from>
    <xdr:to>
      <xdr:col>11</xdr:col>
      <xdr:colOff>1215300</xdr:colOff>
      <xdr:row>3</xdr:row>
      <xdr:rowOff>72300</xdr:rowOff>
    </xdr:to>
    <xdr:pic>
      <xdr:nvPicPr>
        <xdr:cNvPr id="4" name="Picture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51300" y="85725"/>
          <a:ext cx="720000" cy="72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514350</xdr:colOff>
      <xdr:row>0</xdr:row>
      <xdr:rowOff>85725</xdr:rowOff>
    </xdr:from>
    <xdr:to>
      <xdr:col>11</xdr:col>
      <xdr:colOff>1234350</xdr:colOff>
      <xdr:row>3</xdr:row>
      <xdr:rowOff>72300</xdr:rowOff>
    </xdr:to>
    <xdr:pic>
      <xdr:nvPicPr>
        <xdr:cNvPr id="4" name="Picture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32250" y="85725"/>
          <a:ext cx="720000" cy="720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495300</xdr:colOff>
      <xdr:row>0</xdr:row>
      <xdr:rowOff>85725</xdr:rowOff>
    </xdr:from>
    <xdr:to>
      <xdr:col>11</xdr:col>
      <xdr:colOff>1215300</xdr:colOff>
      <xdr:row>3</xdr:row>
      <xdr:rowOff>72300</xdr:rowOff>
    </xdr:to>
    <xdr:pic>
      <xdr:nvPicPr>
        <xdr:cNvPr id="4" name="Picture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51300" y="85725"/>
          <a:ext cx="720000" cy="720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0</xdr:row>
      <xdr:rowOff>123825</xdr:rowOff>
    </xdr:from>
    <xdr:to>
      <xdr:col>12</xdr:col>
      <xdr:colOff>533400</xdr:colOff>
      <xdr:row>31</xdr:row>
      <xdr:rowOff>152400</xdr:rowOff>
    </xdr:to>
    <xdr:graphicFrame macro="">
      <xdr:nvGraphicFramePr>
        <xdr:cNvPr id="4" name="Chart 4">
          <a:extLst>
            <a:ext uri="{FF2B5EF4-FFF2-40B4-BE49-F238E27FC236}">
              <a16:creationId xmlns=""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390525</xdr:colOff>
      <xdr:row>0</xdr:row>
      <xdr:rowOff>142875</xdr:rowOff>
    </xdr:from>
    <xdr:to>
      <xdr:col>12</xdr:col>
      <xdr:colOff>500925</xdr:colOff>
      <xdr:row>5</xdr:row>
      <xdr:rowOff>53250</xdr:rowOff>
    </xdr:to>
    <xdr:pic>
      <xdr:nvPicPr>
        <xdr:cNvPr id="3" name="Picture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70275" y="142875"/>
          <a:ext cx="720000" cy="720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14</xdr:col>
      <xdr:colOff>1238250</xdr:colOff>
      <xdr:row>0</xdr:row>
      <xdr:rowOff>123825</xdr:rowOff>
    </xdr:from>
    <xdr:to>
      <xdr:col>14</xdr:col>
      <xdr:colOff>1958250</xdr:colOff>
      <xdr:row>4</xdr:row>
      <xdr:rowOff>15150</xdr:rowOff>
    </xdr:to>
    <xdr:pic>
      <xdr:nvPicPr>
        <xdr:cNvPr id="4" name="Picture 3">
          <a:extLst>
            <a:ext uri="{FF2B5EF4-FFF2-40B4-BE49-F238E27FC236}">
              <a16:creationId xmlns="" xmlns:a16="http://schemas.microsoft.com/office/drawing/2014/main" id="{00000000-0008-0000-2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03450" y="123825"/>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89625</xdr:colOff>
      <xdr:row>0</xdr:row>
      <xdr:rowOff>76199</xdr:rowOff>
    </xdr:from>
    <xdr:to>
      <xdr:col>13</xdr:col>
      <xdr:colOff>809625</xdr:colOff>
      <xdr:row>3</xdr:row>
      <xdr:rowOff>100874</xdr:rowOff>
    </xdr:to>
    <xdr:pic>
      <xdr:nvPicPr>
        <xdr:cNvPr id="2" name="Picture 1">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75825" y="76199"/>
          <a:ext cx="720000" cy="720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14</xdr:col>
      <xdr:colOff>1219200</xdr:colOff>
      <xdr:row>0</xdr:row>
      <xdr:rowOff>133350</xdr:rowOff>
    </xdr:from>
    <xdr:to>
      <xdr:col>14</xdr:col>
      <xdr:colOff>1939200</xdr:colOff>
      <xdr:row>4</xdr:row>
      <xdr:rowOff>24675</xdr:rowOff>
    </xdr:to>
    <xdr:pic>
      <xdr:nvPicPr>
        <xdr:cNvPr id="4" name="Picture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22500" y="133350"/>
          <a:ext cx="720000" cy="720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14</xdr:col>
      <xdr:colOff>1181100</xdr:colOff>
      <xdr:row>0</xdr:row>
      <xdr:rowOff>76200</xdr:rowOff>
    </xdr:from>
    <xdr:to>
      <xdr:col>14</xdr:col>
      <xdr:colOff>1901100</xdr:colOff>
      <xdr:row>3</xdr:row>
      <xdr:rowOff>167550</xdr:rowOff>
    </xdr:to>
    <xdr:pic>
      <xdr:nvPicPr>
        <xdr:cNvPr id="4" name="Picture 3">
          <a:extLst>
            <a:ext uri="{FF2B5EF4-FFF2-40B4-BE49-F238E27FC236}">
              <a16:creationId xmlns="" xmlns:a16="http://schemas.microsoft.com/office/drawing/2014/main" id="{00000000-0008-0000-2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60600" y="76200"/>
          <a:ext cx="720000" cy="720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133350</xdr:colOff>
      <xdr:row>0</xdr:row>
      <xdr:rowOff>238124</xdr:rowOff>
    </xdr:from>
    <xdr:to>
      <xdr:col>13</xdr:col>
      <xdr:colOff>495300</xdr:colOff>
      <xdr:row>31</xdr:row>
      <xdr:rowOff>133350</xdr:rowOff>
    </xdr:to>
    <xdr:graphicFrame macro="">
      <xdr:nvGraphicFramePr>
        <xdr:cNvPr id="5" name="Chart 4">
          <a:extLst>
            <a:ext uri="{FF2B5EF4-FFF2-40B4-BE49-F238E27FC236}">
              <a16:creationId xmlns=""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200025</xdr:colOff>
      <xdr:row>0</xdr:row>
      <xdr:rowOff>209550</xdr:rowOff>
    </xdr:from>
    <xdr:to>
      <xdr:col>13</xdr:col>
      <xdr:colOff>310425</xdr:colOff>
      <xdr:row>3</xdr:row>
      <xdr:rowOff>138975</xdr:rowOff>
    </xdr:to>
    <xdr:pic>
      <xdr:nvPicPr>
        <xdr:cNvPr id="6" name="Picture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451175" y="209550"/>
          <a:ext cx="720000" cy="720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13</xdr:col>
      <xdr:colOff>628650</xdr:colOff>
      <xdr:row>0</xdr:row>
      <xdr:rowOff>85725</xdr:rowOff>
    </xdr:from>
    <xdr:to>
      <xdr:col>13</xdr:col>
      <xdr:colOff>1348650</xdr:colOff>
      <xdr:row>2</xdr:row>
      <xdr:rowOff>119925</xdr:rowOff>
    </xdr:to>
    <xdr:pic>
      <xdr:nvPicPr>
        <xdr:cNvPr id="4" name="Picture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85725"/>
          <a:ext cx="720000" cy="720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13</xdr:col>
      <xdr:colOff>619125</xdr:colOff>
      <xdr:row>0</xdr:row>
      <xdr:rowOff>85725</xdr:rowOff>
    </xdr:from>
    <xdr:to>
      <xdr:col>13</xdr:col>
      <xdr:colOff>1339125</xdr:colOff>
      <xdr:row>2</xdr:row>
      <xdr:rowOff>119925</xdr:rowOff>
    </xdr:to>
    <xdr:pic>
      <xdr:nvPicPr>
        <xdr:cNvPr id="4" name="Picture 3">
          <a:extLst>
            <a:ext uri="{FF2B5EF4-FFF2-40B4-BE49-F238E27FC236}">
              <a16:creationId xmlns="" xmlns:a16="http://schemas.microsoft.com/office/drawing/2014/main" id="{00000000-0008-0000-3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60675" y="85725"/>
          <a:ext cx="720000" cy="720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13</xdr:col>
      <xdr:colOff>542925</xdr:colOff>
      <xdr:row>0</xdr:row>
      <xdr:rowOff>133350</xdr:rowOff>
    </xdr:from>
    <xdr:to>
      <xdr:col>13</xdr:col>
      <xdr:colOff>1262925</xdr:colOff>
      <xdr:row>2</xdr:row>
      <xdr:rowOff>167550</xdr:rowOff>
    </xdr:to>
    <xdr:pic>
      <xdr:nvPicPr>
        <xdr:cNvPr id="4" name="Picture 3">
          <a:extLst>
            <a:ext uri="{FF2B5EF4-FFF2-40B4-BE49-F238E27FC236}">
              <a16:creationId xmlns="" xmlns:a16="http://schemas.microsoft.com/office/drawing/2014/main" id="{00000000-0008-0000-3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133350"/>
          <a:ext cx="720000" cy="720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13</xdr:col>
      <xdr:colOff>457200</xdr:colOff>
      <xdr:row>0</xdr:row>
      <xdr:rowOff>66675</xdr:rowOff>
    </xdr:from>
    <xdr:to>
      <xdr:col>13</xdr:col>
      <xdr:colOff>1177200</xdr:colOff>
      <xdr:row>3</xdr:row>
      <xdr:rowOff>53250</xdr:rowOff>
    </xdr:to>
    <xdr:pic>
      <xdr:nvPicPr>
        <xdr:cNvPr id="4" name="Picture 3">
          <a:extLst>
            <a:ext uri="{FF2B5EF4-FFF2-40B4-BE49-F238E27FC236}">
              <a16:creationId xmlns="" xmlns:a16="http://schemas.microsoft.com/office/drawing/2014/main" id="{00000000-0008-0000-3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32100" y="66675"/>
          <a:ext cx="720000" cy="720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13</xdr:col>
      <xdr:colOff>828675</xdr:colOff>
      <xdr:row>0</xdr:row>
      <xdr:rowOff>57150</xdr:rowOff>
    </xdr:from>
    <xdr:to>
      <xdr:col>13</xdr:col>
      <xdr:colOff>1548675</xdr:colOff>
      <xdr:row>3</xdr:row>
      <xdr:rowOff>43725</xdr:rowOff>
    </xdr:to>
    <xdr:pic>
      <xdr:nvPicPr>
        <xdr:cNvPr id="4" name="Picture 3">
          <a:extLst>
            <a:ext uri="{FF2B5EF4-FFF2-40B4-BE49-F238E27FC236}">
              <a16:creationId xmlns="" xmlns:a16="http://schemas.microsoft.com/office/drawing/2014/main" id="{00000000-0008-0000-3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51150" y="57150"/>
          <a:ext cx="720000" cy="720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114300</xdr:colOff>
      <xdr:row>1</xdr:row>
      <xdr:rowOff>57149</xdr:rowOff>
    </xdr:from>
    <xdr:to>
      <xdr:col>12</xdr:col>
      <xdr:colOff>466725</xdr:colOff>
      <xdr:row>31</xdr:row>
      <xdr:rowOff>66674</xdr:rowOff>
    </xdr:to>
    <xdr:graphicFrame macro="">
      <xdr:nvGraphicFramePr>
        <xdr:cNvPr id="4" name="Chart 4">
          <a:extLst>
            <a:ext uri="{FF2B5EF4-FFF2-40B4-BE49-F238E27FC236}">
              <a16:creationId xmlns=""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295275</xdr:colOff>
      <xdr:row>1</xdr:row>
      <xdr:rowOff>28575</xdr:rowOff>
    </xdr:from>
    <xdr:to>
      <xdr:col>12</xdr:col>
      <xdr:colOff>405675</xdr:colOff>
      <xdr:row>5</xdr:row>
      <xdr:rowOff>100875</xdr:rowOff>
    </xdr:to>
    <xdr:pic>
      <xdr:nvPicPr>
        <xdr:cNvPr id="6" name="Picture 5">
          <a:extLst>
            <a:ext uri="{FF2B5EF4-FFF2-40B4-BE49-F238E27FC236}">
              <a16:creationId xmlns="" xmlns:a16="http://schemas.microsoft.com/office/drawing/2014/main" id="{00000000-0008-0000-3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65525" y="190500"/>
          <a:ext cx="720000" cy="720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1</xdr:row>
      <xdr:rowOff>0</xdr:rowOff>
    </xdr:from>
    <xdr:to>
      <xdr:col>2</xdr:col>
      <xdr:colOff>542925</xdr:colOff>
      <xdr:row>18</xdr:row>
      <xdr:rowOff>38100</xdr:rowOff>
    </xdr:to>
    <xdr:grpSp>
      <xdr:nvGrpSpPr>
        <xdr:cNvPr id="2" name="Group 4">
          <a:extLst>
            <a:ext uri="{FF2B5EF4-FFF2-40B4-BE49-F238E27FC236}">
              <a16:creationId xmlns="" xmlns:a16="http://schemas.microsoft.com/office/drawing/2014/main" id="{00000000-0008-0000-3700-000002000000}"/>
            </a:ext>
          </a:extLst>
        </xdr:cNvPr>
        <xdr:cNvGrpSpPr>
          <a:grpSpLocks/>
        </xdr:cNvGrpSpPr>
      </xdr:nvGrpSpPr>
      <xdr:grpSpPr bwMode="auto">
        <a:xfrm flipH="1">
          <a:off x="10734868548" y="155448"/>
          <a:ext cx="5015484" cy="2679192"/>
          <a:chOff x="0" y="17"/>
          <a:chExt cx="490" cy="293"/>
        </a:xfrm>
      </xdr:grpSpPr>
      <xdr:pic>
        <xdr:nvPicPr>
          <xdr:cNvPr id="3" name="Picture 2" descr="bor0019">
            <a:extLst>
              <a:ext uri="{FF2B5EF4-FFF2-40B4-BE49-F238E27FC236}">
                <a16:creationId xmlns=""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7"/>
            <a:ext cx="490" cy="293"/>
          </a:xfrm>
          <a:prstGeom prst="rect">
            <a:avLst/>
          </a:prstGeom>
          <a:noFill/>
          <a:ln w="9525">
            <a:noFill/>
            <a:miter lim="800000"/>
            <a:headEnd/>
            <a:tailEnd/>
          </a:ln>
        </xdr:spPr>
      </xdr:pic>
      <xdr:sp macro="" textlink="">
        <xdr:nvSpPr>
          <xdr:cNvPr id="4" name="Text Box 3">
            <a:extLst>
              <a:ext uri="{FF2B5EF4-FFF2-40B4-BE49-F238E27FC236}">
                <a16:creationId xmlns="" xmlns:a16="http://schemas.microsoft.com/office/drawing/2014/main" id="{00000000-0008-0000-3700-000004000000}"/>
              </a:ext>
            </a:extLst>
          </xdr:cNvPr>
          <xdr:cNvSpPr txBox="1">
            <a:spLocks noChangeArrowheads="1"/>
          </xdr:cNvSpPr>
        </xdr:nvSpPr>
        <xdr:spPr bwMode="auto">
          <a:xfrm>
            <a:off x="63" y="86"/>
            <a:ext cx="363" cy="152"/>
          </a:xfrm>
          <a:prstGeom prst="rect">
            <a:avLst/>
          </a:prstGeom>
          <a:noFill/>
          <a:ln w="9525">
            <a:noFill/>
            <a:miter lim="800000"/>
            <a:headEnd/>
            <a:tailEnd/>
          </a:ln>
        </xdr:spPr>
        <xdr:txBody>
          <a:bodyPr vertOverflow="clip" wrap="square" lIns="54864" tIns="68580" rIns="54864" bIns="0" anchor="t" upright="1"/>
          <a:lstStyle/>
          <a:p>
            <a:pPr algn="ctr" rtl="0">
              <a:defRPr sz="1000"/>
            </a:pPr>
            <a:r>
              <a:rPr lang="ar-QA" sz="3200" b="1" i="0" strike="noStrike">
                <a:solidFill>
                  <a:srgbClr val="0000FF"/>
                </a:solidFill>
                <a:latin typeface="Sakkal Majalla" panose="02000000000000000000" pitchFamily="2" charset="-78"/>
                <a:cs typeface="Sakkal Majalla" panose="02000000000000000000" pitchFamily="2" charset="-78"/>
              </a:rPr>
              <a:t>البـــاب الثـــاني : الطـــــــلاق</a:t>
            </a:r>
          </a:p>
          <a:p>
            <a:pPr algn="ctr" rtl="0">
              <a:defRPr sz="1000"/>
            </a:pPr>
            <a:r>
              <a:rPr lang="en-US" sz="2000" b="0" i="0" strike="noStrike">
                <a:solidFill>
                  <a:srgbClr val="0000FF"/>
                </a:solidFill>
                <a:latin typeface="Arial Black"/>
              </a:rPr>
              <a:t>SECOND SECTION : DIVORCES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95250</xdr:colOff>
      <xdr:row>1</xdr:row>
      <xdr:rowOff>133350</xdr:rowOff>
    </xdr:from>
    <xdr:to>
      <xdr:col>12</xdr:col>
      <xdr:colOff>561975</xdr:colOff>
      <xdr:row>35</xdr:row>
      <xdr:rowOff>142875</xdr:rowOff>
    </xdr:to>
    <xdr:graphicFrame macro="">
      <xdr:nvGraphicFramePr>
        <xdr:cNvPr id="2" name="Chart 1">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400050</xdr:colOff>
      <xdr:row>0</xdr:row>
      <xdr:rowOff>104775</xdr:rowOff>
    </xdr:from>
    <xdr:to>
      <xdr:col>12</xdr:col>
      <xdr:colOff>510450</xdr:colOff>
      <xdr:row>1</xdr:row>
      <xdr:rowOff>339000</xdr:rowOff>
    </xdr:to>
    <xdr:pic>
      <xdr:nvPicPr>
        <xdr:cNvPr id="5" name="Picture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60750" y="104775"/>
          <a:ext cx="720000" cy="720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13</xdr:col>
      <xdr:colOff>95250</xdr:colOff>
      <xdr:row>0</xdr:row>
      <xdr:rowOff>114300</xdr:rowOff>
    </xdr:from>
    <xdr:to>
      <xdr:col>13</xdr:col>
      <xdr:colOff>815250</xdr:colOff>
      <xdr:row>2</xdr:row>
      <xdr:rowOff>186600</xdr:rowOff>
    </xdr:to>
    <xdr:pic>
      <xdr:nvPicPr>
        <xdr:cNvPr id="3" name="Picture 2">
          <a:extLst>
            <a:ext uri="{FF2B5EF4-FFF2-40B4-BE49-F238E27FC236}">
              <a16:creationId xmlns="" xmlns:a16="http://schemas.microsoft.com/office/drawing/2014/main" id="{00000000-0008-0000-3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60675" y="114300"/>
          <a:ext cx="720000" cy="720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19051</xdr:colOff>
      <xdr:row>1</xdr:row>
      <xdr:rowOff>114300</xdr:rowOff>
    </xdr:from>
    <xdr:to>
      <xdr:col>12</xdr:col>
      <xdr:colOff>504826</xdr:colOff>
      <xdr:row>32</xdr:row>
      <xdr:rowOff>152400</xdr:rowOff>
    </xdr:to>
    <xdr:graphicFrame macro="">
      <xdr:nvGraphicFramePr>
        <xdr:cNvPr id="4" name="Chart 4">
          <a:extLst>
            <a:ext uri="{FF2B5EF4-FFF2-40B4-BE49-F238E27FC236}">
              <a16:creationId xmlns=""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342900</xdr:colOff>
      <xdr:row>0</xdr:row>
      <xdr:rowOff>114300</xdr:rowOff>
    </xdr:from>
    <xdr:to>
      <xdr:col>12</xdr:col>
      <xdr:colOff>453300</xdr:colOff>
      <xdr:row>3</xdr:row>
      <xdr:rowOff>34200</xdr:rowOff>
    </xdr:to>
    <xdr:pic>
      <xdr:nvPicPr>
        <xdr:cNvPr id="5" name="Picture 4">
          <a:extLst>
            <a:ext uri="{FF2B5EF4-FFF2-40B4-BE49-F238E27FC236}">
              <a16:creationId xmlns="" xmlns:a16="http://schemas.microsoft.com/office/drawing/2014/main" id="{00000000-0008-0000-3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17900" y="114300"/>
          <a:ext cx="720000" cy="720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24</xdr:col>
      <xdr:colOff>209550</xdr:colOff>
      <xdr:row>0</xdr:row>
      <xdr:rowOff>85725</xdr:rowOff>
    </xdr:from>
    <xdr:to>
      <xdr:col>24</xdr:col>
      <xdr:colOff>929550</xdr:colOff>
      <xdr:row>3</xdr:row>
      <xdr:rowOff>91350</xdr:rowOff>
    </xdr:to>
    <xdr:pic>
      <xdr:nvPicPr>
        <xdr:cNvPr id="3" name="Picture 2">
          <a:extLst>
            <a:ext uri="{FF2B5EF4-FFF2-40B4-BE49-F238E27FC236}">
              <a16:creationId xmlns="" xmlns:a16="http://schemas.microsoft.com/office/drawing/2014/main" id="{00000000-0008-0000-3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2536025" y="85725"/>
          <a:ext cx="720000" cy="720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10</xdr:col>
      <xdr:colOff>498873</xdr:colOff>
      <xdr:row>57</xdr:row>
      <xdr:rowOff>114300</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70" t="568" r="670" b="946"/>
        <a:stretch/>
      </xdr:blipFill>
      <xdr:spPr>
        <a:xfrm>
          <a:off x="9981053427" y="57150"/>
          <a:ext cx="6518673" cy="928687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609600</xdr:colOff>
      <xdr:row>0</xdr:row>
      <xdr:rowOff>104775</xdr:rowOff>
    </xdr:from>
    <xdr:to>
      <xdr:col>7</xdr:col>
      <xdr:colOff>1329600</xdr:colOff>
      <xdr:row>2</xdr:row>
      <xdr:rowOff>138975</xdr:rowOff>
    </xdr:to>
    <xdr:pic>
      <xdr:nvPicPr>
        <xdr:cNvPr id="3" name="Picture 2">
          <a:extLst>
            <a:ext uri="{FF2B5EF4-FFF2-40B4-BE49-F238E27FC236}">
              <a16:creationId xmlns="" xmlns:a16="http://schemas.microsoft.com/office/drawing/2014/main" id="{00000000-0008-0000-3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1125" y="104775"/>
          <a:ext cx="720000" cy="720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1</xdr:row>
      <xdr:rowOff>66675</xdr:rowOff>
    </xdr:from>
    <xdr:to>
      <xdr:col>13</xdr:col>
      <xdr:colOff>523875</xdr:colOff>
      <xdr:row>35</xdr:row>
      <xdr:rowOff>95250</xdr:rowOff>
    </xdr:to>
    <xdr:graphicFrame macro="">
      <xdr:nvGraphicFramePr>
        <xdr:cNvPr id="4" name="Chart 4">
          <a:extLst>
            <a:ext uri="{FF2B5EF4-FFF2-40B4-BE49-F238E27FC236}">
              <a16:creationId xmlns=""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291352</xdr:colOff>
      <xdr:row>0</xdr:row>
      <xdr:rowOff>246530</xdr:rowOff>
    </xdr:from>
    <xdr:to>
      <xdr:col>13</xdr:col>
      <xdr:colOff>406235</xdr:colOff>
      <xdr:row>2</xdr:row>
      <xdr:rowOff>137295</xdr:rowOff>
    </xdr:to>
    <xdr:pic>
      <xdr:nvPicPr>
        <xdr:cNvPr id="5" name="Picture 4">
          <a:extLst>
            <a:ext uri="{FF2B5EF4-FFF2-40B4-BE49-F238E27FC236}">
              <a16:creationId xmlns="" xmlns:a16="http://schemas.microsoft.com/office/drawing/2014/main" id="{00000000-0008-0000-3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05974765" y="246530"/>
          <a:ext cx="720000" cy="720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8</xdr:col>
      <xdr:colOff>1028700</xdr:colOff>
      <xdr:row>0</xdr:row>
      <xdr:rowOff>76200</xdr:rowOff>
    </xdr:from>
    <xdr:to>
      <xdr:col>8</xdr:col>
      <xdr:colOff>1748700</xdr:colOff>
      <xdr:row>3</xdr:row>
      <xdr:rowOff>91350</xdr:rowOff>
    </xdr:to>
    <xdr:pic>
      <xdr:nvPicPr>
        <xdr:cNvPr id="3" name="Picture 2">
          <a:extLst>
            <a:ext uri="{FF2B5EF4-FFF2-40B4-BE49-F238E27FC236}">
              <a16:creationId xmlns="" xmlns:a16="http://schemas.microsoft.com/office/drawing/2014/main" id="{00000000-0008-0000-3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76200"/>
          <a:ext cx="720000" cy="7200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180975</xdr:colOff>
      <xdr:row>0</xdr:row>
      <xdr:rowOff>47625</xdr:rowOff>
    </xdr:from>
    <xdr:to>
      <xdr:col>12</xdr:col>
      <xdr:colOff>495300</xdr:colOff>
      <xdr:row>32</xdr:row>
      <xdr:rowOff>47625</xdr:rowOff>
    </xdr:to>
    <xdr:graphicFrame macro="">
      <xdr:nvGraphicFramePr>
        <xdr:cNvPr id="4" name="Chart 4">
          <a:extLst>
            <a:ext uri="{FF2B5EF4-FFF2-40B4-BE49-F238E27FC236}">
              <a16:creationId xmlns=""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228600</xdr:colOff>
      <xdr:row>0</xdr:row>
      <xdr:rowOff>152400</xdr:rowOff>
    </xdr:from>
    <xdr:to>
      <xdr:col>12</xdr:col>
      <xdr:colOff>339000</xdr:colOff>
      <xdr:row>5</xdr:row>
      <xdr:rowOff>62775</xdr:rowOff>
    </xdr:to>
    <xdr:pic>
      <xdr:nvPicPr>
        <xdr:cNvPr id="5" name="Picture 4">
          <a:extLst>
            <a:ext uri="{FF2B5EF4-FFF2-40B4-BE49-F238E27FC236}">
              <a16:creationId xmlns="" xmlns:a16="http://schemas.microsoft.com/office/drawing/2014/main" id="{00000000-0008-0000-3F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032200" y="152400"/>
          <a:ext cx="720000" cy="720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381000</xdr:colOff>
      <xdr:row>0</xdr:row>
      <xdr:rowOff>28576</xdr:rowOff>
    </xdr:from>
    <xdr:to>
      <xdr:col>12</xdr:col>
      <xdr:colOff>561975</xdr:colOff>
      <xdr:row>30</xdr:row>
      <xdr:rowOff>85726</xdr:rowOff>
    </xdr:to>
    <xdr:graphicFrame macro="">
      <xdr:nvGraphicFramePr>
        <xdr:cNvPr id="4" name="Chart 4">
          <a:extLst>
            <a:ext uri="{FF2B5EF4-FFF2-40B4-BE49-F238E27FC236}">
              <a16:creationId xmlns="" xmlns:a16="http://schemas.microsoft.com/office/drawing/2014/main" id="{00000000-0008-0000-4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342900</xdr:colOff>
      <xdr:row>0</xdr:row>
      <xdr:rowOff>142875</xdr:rowOff>
    </xdr:from>
    <xdr:to>
      <xdr:col>12</xdr:col>
      <xdr:colOff>453300</xdr:colOff>
      <xdr:row>5</xdr:row>
      <xdr:rowOff>53250</xdr:rowOff>
    </xdr:to>
    <xdr:pic>
      <xdr:nvPicPr>
        <xdr:cNvPr id="5" name="Picture 4">
          <a:extLst>
            <a:ext uri="{FF2B5EF4-FFF2-40B4-BE49-F238E27FC236}">
              <a16:creationId xmlns="" xmlns:a16="http://schemas.microsoft.com/office/drawing/2014/main" id="{00000000-0008-0000-4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917900" y="142875"/>
          <a:ext cx="720000" cy="7200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8</xdr:col>
      <xdr:colOff>628650</xdr:colOff>
      <xdr:row>0</xdr:row>
      <xdr:rowOff>123825</xdr:rowOff>
    </xdr:from>
    <xdr:to>
      <xdr:col>8</xdr:col>
      <xdr:colOff>1348650</xdr:colOff>
      <xdr:row>3</xdr:row>
      <xdr:rowOff>138975</xdr:rowOff>
    </xdr:to>
    <xdr:pic>
      <xdr:nvPicPr>
        <xdr:cNvPr id="3" name="Picture 2">
          <a:extLst>
            <a:ext uri="{FF2B5EF4-FFF2-40B4-BE49-F238E27FC236}">
              <a16:creationId xmlns="" xmlns:a16="http://schemas.microsoft.com/office/drawing/2014/main" id="{00000000-0008-0000-4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70575" y="123825"/>
          <a:ext cx="720000" cy="7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28575</xdr:colOff>
      <xdr:row>0</xdr:row>
      <xdr:rowOff>114300</xdr:rowOff>
    </xdr:from>
    <xdr:to>
      <xdr:col>13</xdr:col>
      <xdr:colOff>748575</xdr:colOff>
      <xdr:row>2</xdr:row>
      <xdr:rowOff>158025</xdr:rowOff>
    </xdr:to>
    <xdr:pic>
      <xdr:nvPicPr>
        <xdr:cNvPr id="4" name="Picture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98775" y="114300"/>
          <a:ext cx="720000" cy="720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8</xdr:col>
      <xdr:colOff>638175</xdr:colOff>
      <xdr:row>0</xdr:row>
      <xdr:rowOff>123825</xdr:rowOff>
    </xdr:from>
    <xdr:to>
      <xdr:col>8</xdr:col>
      <xdr:colOff>1358175</xdr:colOff>
      <xdr:row>3</xdr:row>
      <xdr:rowOff>138975</xdr:rowOff>
    </xdr:to>
    <xdr:pic>
      <xdr:nvPicPr>
        <xdr:cNvPr id="3" name="Picture 2">
          <a:extLst>
            <a:ext uri="{FF2B5EF4-FFF2-40B4-BE49-F238E27FC236}">
              <a16:creationId xmlns="" xmlns:a16="http://schemas.microsoft.com/office/drawing/2014/main" id="{00000000-0008-0000-4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61050" y="123825"/>
          <a:ext cx="720000" cy="7200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8</xdr:col>
      <xdr:colOff>647700</xdr:colOff>
      <xdr:row>0</xdr:row>
      <xdr:rowOff>123825</xdr:rowOff>
    </xdr:from>
    <xdr:to>
      <xdr:col>8</xdr:col>
      <xdr:colOff>1367700</xdr:colOff>
      <xdr:row>3</xdr:row>
      <xdr:rowOff>138975</xdr:rowOff>
    </xdr:to>
    <xdr:pic>
      <xdr:nvPicPr>
        <xdr:cNvPr id="3" name="Picture 2">
          <a:extLst>
            <a:ext uri="{FF2B5EF4-FFF2-40B4-BE49-F238E27FC236}">
              <a16:creationId xmlns="" xmlns:a16="http://schemas.microsoft.com/office/drawing/2014/main" id="{00000000-0008-0000-4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46750" y="123825"/>
          <a:ext cx="720000" cy="7200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8</xdr:col>
      <xdr:colOff>504825</xdr:colOff>
      <xdr:row>0</xdr:row>
      <xdr:rowOff>133350</xdr:rowOff>
    </xdr:from>
    <xdr:to>
      <xdr:col>8</xdr:col>
      <xdr:colOff>1224825</xdr:colOff>
      <xdr:row>3</xdr:row>
      <xdr:rowOff>148500</xdr:rowOff>
    </xdr:to>
    <xdr:pic>
      <xdr:nvPicPr>
        <xdr:cNvPr id="3" name="Picture 2">
          <a:extLst>
            <a:ext uri="{FF2B5EF4-FFF2-40B4-BE49-F238E27FC236}">
              <a16:creationId xmlns="" xmlns:a16="http://schemas.microsoft.com/office/drawing/2014/main" id="{00000000-0008-0000-4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165800" y="133350"/>
          <a:ext cx="720000" cy="7200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8</xdr:col>
      <xdr:colOff>514350</xdr:colOff>
      <xdr:row>0</xdr:row>
      <xdr:rowOff>114300</xdr:rowOff>
    </xdr:from>
    <xdr:to>
      <xdr:col>8</xdr:col>
      <xdr:colOff>1234350</xdr:colOff>
      <xdr:row>3</xdr:row>
      <xdr:rowOff>129450</xdr:rowOff>
    </xdr:to>
    <xdr:pic>
      <xdr:nvPicPr>
        <xdr:cNvPr id="3" name="Picture 2">
          <a:extLst>
            <a:ext uri="{FF2B5EF4-FFF2-40B4-BE49-F238E27FC236}">
              <a16:creationId xmlns="" xmlns:a16="http://schemas.microsoft.com/office/drawing/2014/main" id="{00000000-0008-0000-4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114300"/>
          <a:ext cx="720000" cy="7200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xdr:col>
      <xdr:colOff>504825</xdr:colOff>
      <xdr:row>0</xdr:row>
      <xdr:rowOff>114300</xdr:rowOff>
    </xdr:from>
    <xdr:to>
      <xdr:col>8</xdr:col>
      <xdr:colOff>1224825</xdr:colOff>
      <xdr:row>3</xdr:row>
      <xdr:rowOff>129450</xdr:rowOff>
    </xdr:to>
    <xdr:pic>
      <xdr:nvPicPr>
        <xdr:cNvPr id="3" name="Picture 2">
          <a:extLst>
            <a:ext uri="{FF2B5EF4-FFF2-40B4-BE49-F238E27FC236}">
              <a16:creationId xmlns="" xmlns:a16="http://schemas.microsoft.com/office/drawing/2014/main" id="{00000000-0008-0000-4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9625" y="114300"/>
          <a:ext cx="720000" cy="7200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10</xdr:col>
      <xdr:colOff>838200</xdr:colOff>
      <xdr:row>0</xdr:row>
      <xdr:rowOff>76200</xdr:rowOff>
    </xdr:from>
    <xdr:to>
      <xdr:col>10</xdr:col>
      <xdr:colOff>1558200</xdr:colOff>
      <xdr:row>3</xdr:row>
      <xdr:rowOff>62775</xdr:rowOff>
    </xdr:to>
    <xdr:pic>
      <xdr:nvPicPr>
        <xdr:cNvPr id="3" name="Picture 2">
          <a:extLst>
            <a:ext uri="{FF2B5EF4-FFF2-40B4-BE49-F238E27FC236}">
              <a16:creationId xmlns="" xmlns:a16="http://schemas.microsoft.com/office/drawing/2014/main" id="{00000000-0008-0000-4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070425" y="76200"/>
          <a:ext cx="720000" cy="7200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704850</xdr:colOff>
      <xdr:row>0</xdr:row>
      <xdr:rowOff>95250</xdr:rowOff>
    </xdr:from>
    <xdr:to>
      <xdr:col>8</xdr:col>
      <xdr:colOff>1424850</xdr:colOff>
      <xdr:row>3</xdr:row>
      <xdr:rowOff>110400</xdr:rowOff>
    </xdr:to>
    <xdr:pic>
      <xdr:nvPicPr>
        <xdr:cNvPr id="3" name="Picture 2">
          <a:extLst>
            <a:ext uri="{FF2B5EF4-FFF2-40B4-BE49-F238E27FC236}">
              <a16:creationId xmlns="" xmlns:a16="http://schemas.microsoft.com/office/drawing/2014/main" id="{00000000-0008-0000-4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51525" y="95250"/>
          <a:ext cx="720000" cy="7200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8</xdr:col>
      <xdr:colOff>704850</xdr:colOff>
      <xdr:row>0</xdr:row>
      <xdr:rowOff>114300</xdr:rowOff>
    </xdr:from>
    <xdr:to>
      <xdr:col>8</xdr:col>
      <xdr:colOff>1424850</xdr:colOff>
      <xdr:row>3</xdr:row>
      <xdr:rowOff>129450</xdr:rowOff>
    </xdr:to>
    <xdr:pic>
      <xdr:nvPicPr>
        <xdr:cNvPr id="3" name="Picture 2">
          <a:extLst>
            <a:ext uri="{FF2B5EF4-FFF2-40B4-BE49-F238E27FC236}">
              <a16:creationId xmlns="" xmlns:a16="http://schemas.microsoft.com/office/drawing/2014/main" id="{00000000-0008-0000-4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51525" y="114300"/>
          <a:ext cx="720000" cy="7200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xdr:col>
      <xdr:colOff>714375</xdr:colOff>
      <xdr:row>0</xdr:row>
      <xdr:rowOff>47625</xdr:rowOff>
    </xdr:from>
    <xdr:to>
      <xdr:col>8</xdr:col>
      <xdr:colOff>1434375</xdr:colOff>
      <xdr:row>3</xdr:row>
      <xdr:rowOff>62775</xdr:rowOff>
    </xdr:to>
    <xdr:pic>
      <xdr:nvPicPr>
        <xdr:cNvPr id="3" name="Picture 2">
          <a:extLst>
            <a:ext uri="{FF2B5EF4-FFF2-40B4-BE49-F238E27FC236}">
              <a16:creationId xmlns="" xmlns:a16="http://schemas.microsoft.com/office/drawing/2014/main" id="{00000000-0008-0000-4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42000" y="47625"/>
          <a:ext cx="720000" cy="7200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13</xdr:col>
      <xdr:colOff>685800</xdr:colOff>
      <xdr:row>0</xdr:row>
      <xdr:rowOff>76200</xdr:rowOff>
    </xdr:from>
    <xdr:to>
      <xdr:col>13</xdr:col>
      <xdr:colOff>1405800</xdr:colOff>
      <xdr:row>2</xdr:row>
      <xdr:rowOff>91350</xdr:rowOff>
    </xdr:to>
    <xdr:pic>
      <xdr:nvPicPr>
        <xdr:cNvPr id="3" name="Picture 2">
          <a:extLst>
            <a:ext uri="{FF2B5EF4-FFF2-40B4-BE49-F238E27FC236}">
              <a16:creationId xmlns="" xmlns:a16="http://schemas.microsoft.com/office/drawing/2014/main" id="{00000000-0008-0000-4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76200"/>
          <a:ext cx="720000"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695325</xdr:colOff>
      <xdr:row>0</xdr:row>
      <xdr:rowOff>76200</xdr:rowOff>
    </xdr:from>
    <xdr:to>
      <xdr:col>5</xdr:col>
      <xdr:colOff>1415325</xdr:colOff>
      <xdr:row>3</xdr:row>
      <xdr:rowOff>167550</xdr:rowOff>
    </xdr:to>
    <xdr:pic>
      <xdr:nvPicPr>
        <xdr:cNvPr id="4" name="Picture 3">
          <a:extLst>
            <a:ext uri="{FF2B5EF4-FFF2-40B4-BE49-F238E27FC236}">
              <a16:creationId xmlns=""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56525" y="76200"/>
          <a:ext cx="720000" cy="7200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8</xdr:col>
      <xdr:colOff>619125</xdr:colOff>
      <xdr:row>0</xdr:row>
      <xdr:rowOff>123825</xdr:rowOff>
    </xdr:from>
    <xdr:to>
      <xdr:col>8</xdr:col>
      <xdr:colOff>1339125</xdr:colOff>
      <xdr:row>3</xdr:row>
      <xdr:rowOff>138975</xdr:rowOff>
    </xdr:to>
    <xdr:pic>
      <xdr:nvPicPr>
        <xdr:cNvPr id="3" name="Picture 2">
          <a:extLst>
            <a:ext uri="{FF2B5EF4-FFF2-40B4-BE49-F238E27FC236}">
              <a16:creationId xmlns="" xmlns:a16="http://schemas.microsoft.com/office/drawing/2014/main" id="{00000000-0008-0000-4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0100" y="123825"/>
          <a:ext cx="720000" cy="7200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8</xdr:col>
      <xdr:colOff>581025</xdr:colOff>
      <xdr:row>0</xdr:row>
      <xdr:rowOff>95250</xdr:rowOff>
    </xdr:from>
    <xdr:to>
      <xdr:col>8</xdr:col>
      <xdr:colOff>1301025</xdr:colOff>
      <xdr:row>3</xdr:row>
      <xdr:rowOff>110400</xdr:rowOff>
    </xdr:to>
    <xdr:pic>
      <xdr:nvPicPr>
        <xdr:cNvPr id="3" name="Picture 2">
          <a:extLst>
            <a:ext uri="{FF2B5EF4-FFF2-40B4-BE49-F238E27FC236}">
              <a16:creationId xmlns="" xmlns:a16="http://schemas.microsoft.com/office/drawing/2014/main" id="{00000000-0008-0000-4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318200" y="95250"/>
          <a:ext cx="720000" cy="7200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8</xdr:col>
      <xdr:colOff>581025</xdr:colOff>
      <xdr:row>0</xdr:row>
      <xdr:rowOff>95250</xdr:rowOff>
    </xdr:from>
    <xdr:to>
      <xdr:col>8</xdr:col>
      <xdr:colOff>1301025</xdr:colOff>
      <xdr:row>3</xdr:row>
      <xdr:rowOff>110400</xdr:rowOff>
    </xdr:to>
    <xdr:pic>
      <xdr:nvPicPr>
        <xdr:cNvPr id="3" name="Picture 2">
          <a:extLst>
            <a:ext uri="{FF2B5EF4-FFF2-40B4-BE49-F238E27FC236}">
              <a16:creationId xmlns="" xmlns:a16="http://schemas.microsoft.com/office/drawing/2014/main" id="{00000000-0008-0000-4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318200" y="95250"/>
          <a:ext cx="720000" cy="7200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14</xdr:col>
      <xdr:colOff>600075</xdr:colOff>
      <xdr:row>0</xdr:row>
      <xdr:rowOff>114300</xdr:rowOff>
    </xdr:from>
    <xdr:to>
      <xdr:col>14</xdr:col>
      <xdr:colOff>1320075</xdr:colOff>
      <xdr:row>3</xdr:row>
      <xdr:rowOff>129450</xdr:rowOff>
    </xdr:to>
    <xdr:pic>
      <xdr:nvPicPr>
        <xdr:cNvPr id="3" name="Picture 2">
          <a:extLst>
            <a:ext uri="{FF2B5EF4-FFF2-40B4-BE49-F238E27FC236}">
              <a16:creationId xmlns="" xmlns:a16="http://schemas.microsoft.com/office/drawing/2014/main" id="{00000000-0008-0000-4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41550" y="114300"/>
          <a:ext cx="720000" cy="7200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14</xdr:col>
      <xdr:colOff>619125</xdr:colOff>
      <xdr:row>0</xdr:row>
      <xdr:rowOff>85725</xdr:rowOff>
    </xdr:from>
    <xdr:to>
      <xdr:col>14</xdr:col>
      <xdr:colOff>1339125</xdr:colOff>
      <xdr:row>3</xdr:row>
      <xdr:rowOff>100875</xdr:rowOff>
    </xdr:to>
    <xdr:pic>
      <xdr:nvPicPr>
        <xdr:cNvPr id="3" name="Picture 2">
          <a:extLst>
            <a:ext uri="{FF2B5EF4-FFF2-40B4-BE49-F238E27FC236}">
              <a16:creationId xmlns="" xmlns:a16="http://schemas.microsoft.com/office/drawing/2014/main" id="{00000000-0008-0000-5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22500" y="85725"/>
          <a:ext cx="720000" cy="7200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14</xdr:col>
      <xdr:colOff>628650</xdr:colOff>
      <xdr:row>0</xdr:row>
      <xdr:rowOff>114300</xdr:rowOff>
    </xdr:from>
    <xdr:to>
      <xdr:col>14</xdr:col>
      <xdr:colOff>1348650</xdr:colOff>
      <xdr:row>3</xdr:row>
      <xdr:rowOff>129450</xdr:rowOff>
    </xdr:to>
    <xdr:pic>
      <xdr:nvPicPr>
        <xdr:cNvPr id="3" name="Picture 2">
          <a:extLst>
            <a:ext uri="{FF2B5EF4-FFF2-40B4-BE49-F238E27FC236}">
              <a16:creationId xmlns="" xmlns:a16="http://schemas.microsoft.com/office/drawing/2014/main" id="{00000000-0008-0000-5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12975" y="114300"/>
          <a:ext cx="720000" cy="720000"/>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14</xdr:col>
      <xdr:colOff>504825</xdr:colOff>
      <xdr:row>0</xdr:row>
      <xdr:rowOff>104775</xdr:rowOff>
    </xdr:from>
    <xdr:to>
      <xdr:col>14</xdr:col>
      <xdr:colOff>1224825</xdr:colOff>
      <xdr:row>3</xdr:row>
      <xdr:rowOff>119925</xdr:rowOff>
    </xdr:to>
    <xdr:pic>
      <xdr:nvPicPr>
        <xdr:cNvPr id="3" name="Picture 2">
          <a:extLst>
            <a:ext uri="{FF2B5EF4-FFF2-40B4-BE49-F238E27FC236}">
              <a16:creationId xmlns="" xmlns:a16="http://schemas.microsoft.com/office/drawing/2014/main" id="{00000000-0008-0000-5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32025" y="104775"/>
          <a:ext cx="720000" cy="7200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14</xdr:col>
      <xdr:colOff>523875</xdr:colOff>
      <xdr:row>0</xdr:row>
      <xdr:rowOff>95250</xdr:rowOff>
    </xdr:from>
    <xdr:to>
      <xdr:col>14</xdr:col>
      <xdr:colOff>1243875</xdr:colOff>
      <xdr:row>3</xdr:row>
      <xdr:rowOff>110400</xdr:rowOff>
    </xdr:to>
    <xdr:pic>
      <xdr:nvPicPr>
        <xdr:cNvPr id="3" name="Picture 2">
          <a:extLst>
            <a:ext uri="{FF2B5EF4-FFF2-40B4-BE49-F238E27FC236}">
              <a16:creationId xmlns="" xmlns:a16="http://schemas.microsoft.com/office/drawing/2014/main" id="{00000000-0008-0000-5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12975" y="95250"/>
          <a:ext cx="720000" cy="7200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14</xdr:col>
      <xdr:colOff>514350</xdr:colOff>
      <xdr:row>0</xdr:row>
      <xdr:rowOff>66675</xdr:rowOff>
    </xdr:from>
    <xdr:to>
      <xdr:col>14</xdr:col>
      <xdr:colOff>1234350</xdr:colOff>
      <xdr:row>3</xdr:row>
      <xdr:rowOff>81825</xdr:rowOff>
    </xdr:to>
    <xdr:pic>
      <xdr:nvPicPr>
        <xdr:cNvPr id="3" name="Picture 2">
          <a:extLst>
            <a:ext uri="{FF2B5EF4-FFF2-40B4-BE49-F238E27FC236}">
              <a16:creationId xmlns="" xmlns:a16="http://schemas.microsoft.com/office/drawing/2014/main" id="{00000000-0008-0000-5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8622500" y="66675"/>
          <a:ext cx="720000" cy="7200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13</xdr:col>
      <xdr:colOff>628650</xdr:colOff>
      <xdr:row>0</xdr:row>
      <xdr:rowOff>85725</xdr:rowOff>
    </xdr:from>
    <xdr:to>
      <xdr:col>13</xdr:col>
      <xdr:colOff>1348650</xdr:colOff>
      <xdr:row>3</xdr:row>
      <xdr:rowOff>100875</xdr:rowOff>
    </xdr:to>
    <xdr:pic>
      <xdr:nvPicPr>
        <xdr:cNvPr id="3" name="Picture 2">
          <a:extLst>
            <a:ext uri="{FF2B5EF4-FFF2-40B4-BE49-F238E27FC236}">
              <a16:creationId xmlns="" xmlns:a16="http://schemas.microsoft.com/office/drawing/2014/main" id="{00000000-0008-0000-5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85725"/>
          <a:ext cx="720000"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161925</xdr:colOff>
      <xdr:row>1</xdr:row>
      <xdr:rowOff>133350</xdr:rowOff>
    </xdr:from>
    <xdr:to>
      <xdr:col>12</xdr:col>
      <xdr:colOff>523875</xdr:colOff>
      <xdr:row>34</xdr:row>
      <xdr:rowOff>19050</xdr:rowOff>
    </xdr:to>
    <xdr:graphicFrame macro="">
      <xdr:nvGraphicFramePr>
        <xdr:cNvPr id="4" name="Chart 4">
          <a:extLst>
            <a:ext uri="{FF2B5EF4-FFF2-40B4-BE49-F238E27FC236}">
              <a16:creationId xmlns=""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371475</xdr:colOff>
      <xdr:row>0</xdr:row>
      <xdr:rowOff>66675</xdr:rowOff>
    </xdr:from>
    <xdr:to>
      <xdr:col>12</xdr:col>
      <xdr:colOff>481875</xdr:colOff>
      <xdr:row>3</xdr:row>
      <xdr:rowOff>5625</xdr:rowOff>
    </xdr:to>
    <xdr:pic>
      <xdr:nvPicPr>
        <xdr:cNvPr id="3" name="Picture 2">
          <a:extLst>
            <a:ext uri="{FF2B5EF4-FFF2-40B4-BE49-F238E27FC236}">
              <a16:creationId xmlns=""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889325" y="66675"/>
          <a:ext cx="720000" cy="72000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13</xdr:col>
      <xdr:colOff>638175</xdr:colOff>
      <xdr:row>0</xdr:row>
      <xdr:rowOff>123825</xdr:rowOff>
    </xdr:from>
    <xdr:to>
      <xdr:col>13</xdr:col>
      <xdr:colOff>1358175</xdr:colOff>
      <xdr:row>3</xdr:row>
      <xdr:rowOff>138975</xdr:rowOff>
    </xdr:to>
    <xdr:pic>
      <xdr:nvPicPr>
        <xdr:cNvPr id="3" name="Picture 2">
          <a:extLst>
            <a:ext uri="{FF2B5EF4-FFF2-40B4-BE49-F238E27FC236}">
              <a16:creationId xmlns="" xmlns:a16="http://schemas.microsoft.com/office/drawing/2014/main" id="{00000000-0008-0000-5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13050" y="123825"/>
          <a:ext cx="720000" cy="7200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13</xdr:col>
      <xdr:colOff>504825</xdr:colOff>
      <xdr:row>0</xdr:row>
      <xdr:rowOff>104775</xdr:rowOff>
    </xdr:from>
    <xdr:to>
      <xdr:col>13</xdr:col>
      <xdr:colOff>1224825</xdr:colOff>
      <xdr:row>3</xdr:row>
      <xdr:rowOff>119925</xdr:rowOff>
    </xdr:to>
    <xdr:pic>
      <xdr:nvPicPr>
        <xdr:cNvPr id="3" name="Picture 2">
          <a:extLst>
            <a:ext uri="{FF2B5EF4-FFF2-40B4-BE49-F238E27FC236}">
              <a16:creationId xmlns="" xmlns:a16="http://schemas.microsoft.com/office/drawing/2014/main" id="{00000000-0008-0000-5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22575" y="104775"/>
          <a:ext cx="720000" cy="7200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16</xdr:col>
      <xdr:colOff>676275</xdr:colOff>
      <xdr:row>0</xdr:row>
      <xdr:rowOff>47625</xdr:rowOff>
    </xdr:from>
    <xdr:to>
      <xdr:col>16</xdr:col>
      <xdr:colOff>1396275</xdr:colOff>
      <xdr:row>3</xdr:row>
      <xdr:rowOff>62775</xdr:rowOff>
    </xdr:to>
    <xdr:pic>
      <xdr:nvPicPr>
        <xdr:cNvPr id="3" name="Picture 2">
          <a:extLst>
            <a:ext uri="{FF2B5EF4-FFF2-40B4-BE49-F238E27FC236}">
              <a16:creationId xmlns="" xmlns:a16="http://schemas.microsoft.com/office/drawing/2014/main" id="{00000000-0008-0000-5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7365200" y="47625"/>
          <a:ext cx="720000" cy="7200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13</xdr:col>
      <xdr:colOff>657225</xdr:colOff>
      <xdr:row>0</xdr:row>
      <xdr:rowOff>28575</xdr:rowOff>
    </xdr:from>
    <xdr:to>
      <xdr:col>13</xdr:col>
      <xdr:colOff>1377225</xdr:colOff>
      <xdr:row>3</xdr:row>
      <xdr:rowOff>43725</xdr:rowOff>
    </xdr:to>
    <xdr:pic>
      <xdr:nvPicPr>
        <xdr:cNvPr id="3" name="Picture 2">
          <a:extLst>
            <a:ext uri="{FF2B5EF4-FFF2-40B4-BE49-F238E27FC236}">
              <a16:creationId xmlns="" xmlns:a16="http://schemas.microsoft.com/office/drawing/2014/main" id="{00000000-0008-0000-5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03525" y="28575"/>
          <a:ext cx="720000" cy="7200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9</xdr:col>
      <xdr:colOff>638175</xdr:colOff>
      <xdr:row>0</xdr:row>
      <xdr:rowOff>85725</xdr:rowOff>
    </xdr:from>
    <xdr:to>
      <xdr:col>9</xdr:col>
      <xdr:colOff>1358175</xdr:colOff>
      <xdr:row>3</xdr:row>
      <xdr:rowOff>100875</xdr:rowOff>
    </xdr:to>
    <xdr:pic>
      <xdr:nvPicPr>
        <xdr:cNvPr id="3" name="Picture 2">
          <a:extLst>
            <a:ext uri="{FF2B5EF4-FFF2-40B4-BE49-F238E27FC236}">
              <a16:creationId xmlns="" xmlns:a16="http://schemas.microsoft.com/office/drawing/2014/main" id="{00000000-0008-0000-5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1727650" y="85725"/>
          <a:ext cx="720000" cy="7200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123825</xdr:colOff>
      <xdr:row>2</xdr:row>
      <xdr:rowOff>0</xdr:rowOff>
    </xdr:from>
    <xdr:to>
      <xdr:col>13</xdr:col>
      <xdr:colOff>342900</xdr:colOff>
      <xdr:row>34</xdr:row>
      <xdr:rowOff>28575</xdr:rowOff>
    </xdr:to>
    <xdr:graphicFrame macro="">
      <xdr:nvGraphicFramePr>
        <xdr:cNvPr id="4" name="Chart 4">
          <a:extLst>
            <a:ext uri="{FF2B5EF4-FFF2-40B4-BE49-F238E27FC236}">
              <a16:creationId xmlns="" xmlns:a16="http://schemas.microsoft.com/office/drawing/2014/main" id="{00000000-0008-0000-5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247650</xdr:colOff>
      <xdr:row>0</xdr:row>
      <xdr:rowOff>257175</xdr:rowOff>
    </xdr:from>
    <xdr:to>
      <xdr:col>13</xdr:col>
      <xdr:colOff>358050</xdr:colOff>
      <xdr:row>3</xdr:row>
      <xdr:rowOff>129450</xdr:rowOff>
    </xdr:to>
    <xdr:pic>
      <xdr:nvPicPr>
        <xdr:cNvPr id="5" name="Picture 4">
          <a:extLst>
            <a:ext uri="{FF2B5EF4-FFF2-40B4-BE49-F238E27FC236}">
              <a16:creationId xmlns=""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403550" y="257175"/>
          <a:ext cx="720000" cy="7200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13</xdr:col>
      <xdr:colOff>590550</xdr:colOff>
      <xdr:row>0</xdr:row>
      <xdr:rowOff>76200</xdr:rowOff>
    </xdr:from>
    <xdr:to>
      <xdr:col>13</xdr:col>
      <xdr:colOff>1310550</xdr:colOff>
      <xdr:row>3</xdr:row>
      <xdr:rowOff>91350</xdr:rowOff>
    </xdr:to>
    <xdr:pic>
      <xdr:nvPicPr>
        <xdr:cNvPr id="3" name="Picture 2">
          <a:extLst>
            <a:ext uri="{FF2B5EF4-FFF2-40B4-BE49-F238E27FC236}">
              <a16:creationId xmlns="" xmlns:a16="http://schemas.microsoft.com/office/drawing/2014/main" id="{00000000-0008-0000-5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9260675" y="76200"/>
          <a:ext cx="720000" cy="7200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11</xdr:col>
      <xdr:colOff>723900</xdr:colOff>
      <xdr:row>0</xdr:row>
      <xdr:rowOff>133350</xdr:rowOff>
    </xdr:from>
    <xdr:to>
      <xdr:col>11</xdr:col>
      <xdr:colOff>1443900</xdr:colOff>
      <xdr:row>3</xdr:row>
      <xdr:rowOff>119925</xdr:rowOff>
    </xdr:to>
    <xdr:pic>
      <xdr:nvPicPr>
        <xdr:cNvPr id="3" name="Picture 2">
          <a:extLst>
            <a:ext uri="{FF2B5EF4-FFF2-40B4-BE49-F238E27FC236}">
              <a16:creationId xmlns="" xmlns:a16="http://schemas.microsoft.com/office/drawing/2014/main" id="{00000000-0008-0000-5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508450" y="133350"/>
          <a:ext cx="720000" cy="7200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11</xdr:col>
      <xdr:colOff>762000</xdr:colOff>
      <xdr:row>0</xdr:row>
      <xdr:rowOff>66675</xdr:rowOff>
    </xdr:from>
    <xdr:to>
      <xdr:col>11</xdr:col>
      <xdr:colOff>1482000</xdr:colOff>
      <xdr:row>3</xdr:row>
      <xdr:rowOff>53250</xdr:rowOff>
    </xdr:to>
    <xdr:pic>
      <xdr:nvPicPr>
        <xdr:cNvPr id="3" name="Picture 2">
          <a:extLst>
            <a:ext uri="{FF2B5EF4-FFF2-40B4-BE49-F238E27FC236}">
              <a16:creationId xmlns="" xmlns:a16="http://schemas.microsoft.com/office/drawing/2014/main" id="{00000000-0008-0000-5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0350" y="66675"/>
          <a:ext cx="720000" cy="7200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11</xdr:col>
      <xdr:colOff>752475</xdr:colOff>
      <xdr:row>0</xdr:row>
      <xdr:rowOff>133350</xdr:rowOff>
    </xdr:from>
    <xdr:to>
      <xdr:col>11</xdr:col>
      <xdr:colOff>1472475</xdr:colOff>
      <xdr:row>3</xdr:row>
      <xdr:rowOff>119925</xdr:rowOff>
    </xdr:to>
    <xdr:pic>
      <xdr:nvPicPr>
        <xdr:cNvPr id="3" name="Picture 2">
          <a:extLst>
            <a:ext uri="{FF2B5EF4-FFF2-40B4-BE49-F238E27FC236}">
              <a16:creationId xmlns="" xmlns:a16="http://schemas.microsoft.com/office/drawing/2014/main" id="{00000000-0008-0000-5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9875" y="133350"/>
          <a:ext cx="720000"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714375</xdr:colOff>
      <xdr:row>0</xdr:row>
      <xdr:rowOff>76200</xdr:rowOff>
    </xdr:from>
    <xdr:to>
      <xdr:col>5</xdr:col>
      <xdr:colOff>1434375</xdr:colOff>
      <xdr:row>3</xdr:row>
      <xdr:rowOff>167550</xdr:rowOff>
    </xdr:to>
    <xdr:pic>
      <xdr:nvPicPr>
        <xdr:cNvPr id="4" name="Picture 3">
          <a:extLst>
            <a:ext uri="{FF2B5EF4-FFF2-40B4-BE49-F238E27FC236}">
              <a16:creationId xmlns=""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4137475" y="76200"/>
          <a:ext cx="720000" cy="72000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47625</xdr:colOff>
      <xdr:row>0</xdr:row>
      <xdr:rowOff>47625</xdr:rowOff>
    </xdr:from>
    <xdr:to>
      <xdr:col>13</xdr:col>
      <xdr:colOff>600075</xdr:colOff>
      <xdr:row>33</xdr:row>
      <xdr:rowOff>123825</xdr:rowOff>
    </xdr:to>
    <xdr:graphicFrame macro="">
      <xdr:nvGraphicFramePr>
        <xdr:cNvPr id="4" name="Chart 4">
          <a:extLst>
            <a:ext uri="{FF2B5EF4-FFF2-40B4-BE49-F238E27FC236}">
              <a16:creationId xmlns="" xmlns:a16="http://schemas.microsoft.com/office/drawing/2014/main" id="{00000000-0008-0000-6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361950</xdr:colOff>
      <xdr:row>0</xdr:row>
      <xdr:rowOff>85725</xdr:rowOff>
    </xdr:from>
    <xdr:to>
      <xdr:col>13</xdr:col>
      <xdr:colOff>472350</xdr:colOff>
      <xdr:row>4</xdr:row>
      <xdr:rowOff>158025</xdr:rowOff>
    </xdr:to>
    <xdr:pic>
      <xdr:nvPicPr>
        <xdr:cNvPr id="5" name="Picture 4">
          <a:extLst>
            <a:ext uri="{FF2B5EF4-FFF2-40B4-BE49-F238E27FC236}">
              <a16:creationId xmlns="" xmlns:a16="http://schemas.microsoft.com/office/drawing/2014/main" id="{00000000-0008-0000-6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89250" y="85725"/>
          <a:ext cx="720000" cy="7200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11</xdr:col>
      <xdr:colOff>533400</xdr:colOff>
      <xdr:row>0</xdr:row>
      <xdr:rowOff>85725</xdr:rowOff>
    </xdr:from>
    <xdr:to>
      <xdr:col>11</xdr:col>
      <xdr:colOff>1253400</xdr:colOff>
      <xdr:row>3</xdr:row>
      <xdr:rowOff>72300</xdr:rowOff>
    </xdr:to>
    <xdr:pic>
      <xdr:nvPicPr>
        <xdr:cNvPr id="3" name="Picture 2">
          <a:extLst>
            <a:ext uri="{FF2B5EF4-FFF2-40B4-BE49-F238E27FC236}">
              <a16:creationId xmlns="" xmlns:a16="http://schemas.microsoft.com/office/drawing/2014/main" id="{00000000-0008-0000-6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32250" y="85725"/>
          <a:ext cx="720000" cy="7200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11</xdr:col>
      <xdr:colOff>523875</xdr:colOff>
      <xdr:row>0</xdr:row>
      <xdr:rowOff>133350</xdr:rowOff>
    </xdr:from>
    <xdr:to>
      <xdr:col>11</xdr:col>
      <xdr:colOff>1243875</xdr:colOff>
      <xdr:row>3</xdr:row>
      <xdr:rowOff>119925</xdr:rowOff>
    </xdr:to>
    <xdr:pic>
      <xdr:nvPicPr>
        <xdr:cNvPr id="3" name="Picture 2">
          <a:extLst>
            <a:ext uri="{FF2B5EF4-FFF2-40B4-BE49-F238E27FC236}">
              <a16:creationId xmlns="" xmlns:a16="http://schemas.microsoft.com/office/drawing/2014/main" id="{00000000-0008-0000-6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41775" y="133350"/>
          <a:ext cx="720000" cy="7200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11</xdr:col>
      <xdr:colOff>552450</xdr:colOff>
      <xdr:row>0</xdr:row>
      <xdr:rowOff>114300</xdr:rowOff>
    </xdr:from>
    <xdr:to>
      <xdr:col>11</xdr:col>
      <xdr:colOff>1272450</xdr:colOff>
      <xdr:row>3</xdr:row>
      <xdr:rowOff>100875</xdr:rowOff>
    </xdr:to>
    <xdr:pic>
      <xdr:nvPicPr>
        <xdr:cNvPr id="3" name="Picture 2">
          <a:extLst>
            <a:ext uri="{FF2B5EF4-FFF2-40B4-BE49-F238E27FC236}">
              <a16:creationId xmlns="" xmlns:a16="http://schemas.microsoft.com/office/drawing/2014/main" id="{00000000-0008-0000-6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13200" y="114300"/>
          <a:ext cx="720000" cy="7200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14</xdr:col>
      <xdr:colOff>1008529</xdr:colOff>
      <xdr:row>0</xdr:row>
      <xdr:rowOff>89647</xdr:rowOff>
    </xdr:from>
    <xdr:to>
      <xdr:col>14</xdr:col>
      <xdr:colOff>1728529</xdr:colOff>
      <xdr:row>3</xdr:row>
      <xdr:rowOff>182118</xdr:rowOff>
    </xdr:to>
    <xdr:pic>
      <xdr:nvPicPr>
        <xdr:cNvPr id="3" name="Picture 2">
          <a:extLst>
            <a:ext uri="{FF2B5EF4-FFF2-40B4-BE49-F238E27FC236}">
              <a16:creationId xmlns="" xmlns:a16="http://schemas.microsoft.com/office/drawing/2014/main" id="{00000000-0008-0000-6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5302412" y="89647"/>
          <a:ext cx="720000" cy="7200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14</xdr:col>
      <xdr:colOff>1019735</xdr:colOff>
      <xdr:row>0</xdr:row>
      <xdr:rowOff>112059</xdr:rowOff>
    </xdr:from>
    <xdr:to>
      <xdr:col>14</xdr:col>
      <xdr:colOff>1739735</xdr:colOff>
      <xdr:row>4</xdr:row>
      <xdr:rowOff>2824</xdr:rowOff>
    </xdr:to>
    <xdr:pic>
      <xdr:nvPicPr>
        <xdr:cNvPr id="3" name="Picture 2">
          <a:extLst>
            <a:ext uri="{FF2B5EF4-FFF2-40B4-BE49-F238E27FC236}">
              <a16:creationId xmlns="" xmlns:a16="http://schemas.microsoft.com/office/drawing/2014/main" id="{00000000-0008-0000-6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5291206" y="112059"/>
          <a:ext cx="720000" cy="7200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14</xdr:col>
      <xdr:colOff>1053353</xdr:colOff>
      <xdr:row>0</xdr:row>
      <xdr:rowOff>134470</xdr:rowOff>
    </xdr:from>
    <xdr:to>
      <xdr:col>14</xdr:col>
      <xdr:colOff>1773353</xdr:colOff>
      <xdr:row>4</xdr:row>
      <xdr:rowOff>25235</xdr:rowOff>
    </xdr:to>
    <xdr:pic>
      <xdr:nvPicPr>
        <xdr:cNvPr id="3" name="Picture 2">
          <a:extLst>
            <a:ext uri="{FF2B5EF4-FFF2-40B4-BE49-F238E27FC236}">
              <a16:creationId xmlns="" xmlns:a16="http://schemas.microsoft.com/office/drawing/2014/main" id="{00000000-0008-0000-6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5257588" y="134470"/>
          <a:ext cx="720000" cy="7200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66675</xdr:colOff>
      <xdr:row>1</xdr:row>
      <xdr:rowOff>19051</xdr:rowOff>
    </xdr:from>
    <xdr:to>
      <xdr:col>13</xdr:col>
      <xdr:colOff>476250</xdr:colOff>
      <xdr:row>35</xdr:row>
      <xdr:rowOff>19051</xdr:rowOff>
    </xdr:to>
    <xdr:graphicFrame macro="">
      <xdr:nvGraphicFramePr>
        <xdr:cNvPr id="4" name="Chart 4">
          <a:extLst>
            <a:ext uri="{FF2B5EF4-FFF2-40B4-BE49-F238E27FC236}">
              <a16:creationId xmlns="" xmlns:a16="http://schemas.microsoft.com/office/drawing/2014/main" id="{00000000-0008-0000-6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257175</xdr:colOff>
      <xdr:row>0</xdr:row>
      <xdr:rowOff>114300</xdr:rowOff>
    </xdr:from>
    <xdr:to>
      <xdr:col>12</xdr:col>
      <xdr:colOff>367575</xdr:colOff>
      <xdr:row>5</xdr:row>
      <xdr:rowOff>24675</xdr:rowOff>
    </xdr:to>
    <xdr:pic>
      <xdr:nvPicPr>
        <xdr:cNvPr id="5" name="Picture 4">
          <a:extLst>
            <a:ext uri="{FF2B5EF4-FFF2-40B4-BE49-F238E27FC236}">
              <a16:creationId xmlns="" xmlns:a16="http://schemas.microsoft.com/office/drawing/2014/main" id="{00000000-0008-0000-6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80003625" y="114300"/>
          <a:ext cx="720000" cy="7200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21</xdr:col>
      <xdr:colOff>628650</xdr:colOff>
      <xdr:row>0</xdr:row>
      <xdr:rowOff>133350</xdr:rowOff>
    </xdr:from>
    <xdr:to>
      <xdr:col>21</xdr:col>
      <xdr:colOff>1348650</xdr:colOff>
      <xdr:row>3</xdr:row>
      <xdr:rowOff>148500</xdr:rowOff>
    </xdr:to>
    <xdr:pic>
      <xdr:nvPicPr>
        <xdr:cNvPr id="3" name="Picture 2">
          <a:extLst>
            <a:ext uri="{FF2B5EF4-FFF2-40B4-BE49-F238E27FC236}">
              <a16:creationId xmlns="" xmlns:a16="http://schemas.microsoft.com/office/drawing/2014/main" id="{00000000-0008-0000-6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4345775" y="133350"/>
          <a:ext cx="720000" cy="7200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76200</xdr:colOff>
      <xdr:row>0</xdr:row>
      <xdr:rowOff>114300</xdr:rowOff>
    </xdr:from>
    <xdr:to>
      <xdr:col>13</xdr:col>
      <xdr:colOff>504825</xdr:colOff>
      <xdr:row>35</xdr:row>
      <xdr:rowOff>9525</xdr:rowOff>
    </xdr:to>
    <xdr:graphicFrame macro="">
      <xdr:nvGraphicFramePr>
        <xdr:cNvPr id="4" name="Chart 4">
          <a:extLst>
            <a:ext uri="{FF2B5EF4-FFF2-40B4-BE49-F238E27FC236}">
              <a16:creationId xmlns="" xmlns:a16="http://schemas.microsoft.com/office/drawing/2014/main" id="{00000000-0008-0000-6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352425</xdr:colOff>
      <xdr:row>0</xdr:row>
      <xdr:rowOff>104775</xdr:rowOff>
    </xdr:from>
    <xdr:to>
      <xdr:col>13</xdr:col>
      <xdr:colOff>462825</xdr:colOff>
      <xdr:row>5</xdr:row>
      <xdr:rowOff>15150</xdr:rowOff>
    </xdr:to>
    <xdr:pic>
      <xdr:nvPicPr>
        <xdr:cNvPr id="5" name="Picture 4">
          <a:extLst>
            <a:ext uri="{FF2B5EF4-FFF2-40B4-BE49-F238E27FC236}">
              <a16:creationId xmlns="" xmlns:a16="http://schemas.microsoft.com/office/drawing/2014/main" id="{00000000-0008-0000-6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9298775" y="104775"/>
          <a:ext cx="720000" cy="720000"/>
        </a:xfrm>
        <a:prstGeom prst="rect">
          <a:avLst/>
        </a:prstGeom>
      </xdr:spPr>
    </xdr:pic>
    <xdr:clientData/>
  </xdr:twoCellAnchor>
</xdr:wsDr>
</file>

<file path=xl/queryTables/queryTable1.xml><?xml version="1.0" encoding="utf-8"?>
<queryTable xmlns="http://schemas.openxmlformats.org/spreadsheetml/2006/main" name="(Default) XLS_TAB_1" headers="0" backgroundRefresh="0" growShrinkType="overwriteClear" adjustColumnWidth="0" connectionId="1" autoFormatId="16" applyNumberFormats="0" applyBorderFormats="0" applyFontFormats="0" applyPatternFormats="0" applyAlignmentFormats="0" applyWidthHeightFormats="0">
  <queryTableRefresh headersInLastRefresh="0" nextId="20">
    <queryTableFields count="14">
      <queryTableField id="1" name="YEAR_AR" tableColumnId="253"/>
      <queryTableField id="2" name="M_QTRI_COUNT" tableColumnId="254"/>
      <queryTableField id="3" name="M_QTRI_PSG" tableColumnId="255"/>
      <queryTableField id="4" name="M_NQTRI_COUNT" tableColumnId="256"/>
      <queryTableField id="5" name="M_NQTRI_PSG" tableColumnId="257"/>
      <queryTableField id="6" name="M_QTRI_TOT_COUNT" tableColumnId="258"/>
      <queryTableField id="7" name="M_QTRI_TOT_PSG" tableColumnId="259"/>
      <queryTableField id="8" name="D_QTRI_COUNT" tableColumnId="260"/>
      <queryTableField id="9" name="D_QTRI_PSG" tableColumnId="261"/>
      <queryTableField id="10" name="D_NQTRI_COUNT" tableColumnId="262"/>
      <queryTableField id="11" name="D_NQTRI_PSG" tableColumnId="263"/>
      <queryTableField id="12" name="D_QTRI_TOT_COUNT" tableColumnId="264"/>
      <queryTableField id="13" name="D_QTRI_TOT_PSG" tableColumnId="265"/>
      <queryTableField id="14" name="YEAR_ENG" tableColumnId="266"/>
    </queryTableFields>
  </queryTableRefresh>
</queryTable>
</file>

<file path=xl/queryTables/queryTable10.xml><?xml version="1.0" encoding="utf-8"?>
<queryTable xmlns="http://schemas.openxmlformats.org/spreadsheetml/2006/main" name="(Default) XLS_TAB_12_1" headers="0" backgroundRefresh="0" growShrinkType="overwriteClear" adjustColumnWidth="0" connectionId="6"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1.xml><?xml version="1.0" encoding="utf-8"?>
<queryTable xmlns="http://schemas.openxmlformats.org/spreadsheetml/2006/main" name="(Default) XLS_TAB_12_2" headers="0" backgroundRefresh="0" growShrinkType="overwriteClear" adjustColumnWidth="0" connectionId="7"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2.xml><?xml version="1.0" encoding="utf-8"?>
<queryTable xmlns="http://schemas.openxmlformats.org/spreadsheetml/2006/main" name="(Default) XLS_TAB_12_3" headers="0" backgroundRefresh="0" growShrinkType="overwriteClear" adjustColumnWidth="0" connectionId="8"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O_WIFE_0" tableColumnId="2"/>
      <queryTableField id="3" name="NO_WIFE_1" tableColumnId="3"/>
      <queryTableField id="4" name="NO_WIFE_2" tableColumnId="4"/>
      <queryTableField id="5" name="NO_WIFE_3" tableColumnId="5"/>
      <queryTableField id="6" name="NO_WIFE_NOT_STATED" tableColumnId="6"/>
      <queryTableField id="7" name="TOTAL" tableColumnId="7"/>
      <queryTableField id="8" name="AGE_LEVEL_HUSBD_ENG" tableColumnId="8"/>
    </queryTableFields>
  </queryTableRefresh>
</queryTable>
</file>

<file path=xl/queryTables/queryTable13.xml><?xml version="1.0" encoding="utf-8"?>
<queryTable xmlns="http://schemas.openxmlformats.org/spreadsheetml/2006/main" name="(Default) XLS_TAB_13_1" headers="0" backgroundRefresh="0" growShrinkType="overwriteClear" adjustColumnWidth="0" connectionId="9"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4.xml><?xml version="1.0" encoding="utf-8"?>
<queryTable xmlns="http://schemas.openxmlformats.org/spreadsheetml/2006/main" name="(Default) XLS_TAB_13_2" headers="0" backgroundRefresh="0" growShrinkType="overwriteClear" adjustColumnWidth="0" connectionId="10"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5.xml><?xml version="1.0" encoding="utf-8"?>
<queryTable xmlns="http://schemas.openxmlformats.org/spreadsheetml/2006/main" name="(Default) XLS_TAB_13_3" headers="0" backgroundRefresh="0" growShrinkType="overwriteClear" adjustColumnWidth="0" connectionId="11" autoFormatId="16" applyNumberFormats="0" applyBorderFormats="0" applyFontFormats="0" applyPatternFormats="0" applyAlignmentFormats="0" applyWidthHeightFormats="0">
  <queryTableRefresh headersInLastRefresh="0" nextId="9">
    <queryTableFields count="8">
      <queryTableField id="1" name="AGE_LEVEL_HUSBD_ARB" tableColumnId="1"/>
      <queryTableField id="2" name="NEVER_MARR" tableColumnId="2"/>
      <queryTableField id="3" name="MARRIED" tableColumnId="3"/>
      <queryTableField id="4" name="DIVORCES" tableColumnId="4"/>
      <queryTableField id="5" name="WIDOWED" tableColumnId="5"/>
      <queryTableField id="6" name="NOT_STATED" tableColumnId="6"/>
      <queryTableField id="7" name="TOTAL" tableColumnId="7"/>
      <queryTableField id="8" name="AGE_LEVEL_HUSBD_ENG" tableColumnId="8"/>
    </queryTableFields>
  </queryTableRefresh>
</queryTable>
</file>

<file path=xl/queryTables/queryTable16.xml><?xml version="1.0" encoding="utf-8"?>
<queryTable xmlns="http://schemas.openxmlformats.org/spreadsheetml/2006/main" name="(Default) XLS_TAB_14_1" headers="0" backgroundRefresh="0" growShrinkType="overwriteClear" adjustColumnWidth="0" connectionId="12"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7.xml><?xml version="1.0" encoding="utf-8"?>
<queryTable xmlns="http://schemas.openxmlformats.org/spreadsheetml/2006/main" name="(Default) XLS_TAB_14_2" headers="0" backgroundRefresh="0" growShrinkType="overwriteClear" adjustColumnWidth="0" connectionId="13"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8.xml><?xml version="1.0" encoding="utf-8"?>
<queryTable xmlns="http://schemas.openxmlformats.org/spreadsheetml/2006/main" name="(Default) XLS_TAB_14_3" headers="0" backgroundRefresh="0" growShrinkType="overwriteClear" adjustColumnWidth="0" connectionId="14" autoFormatId="16" applyNumberFormats="0" applyBorderFormats="0" applyFontFormats="0" applyPatternFormats="0" applyAlignmentFormats="0" applyWidthHeightFormats="0">
  <queryTableRefresh headersInLastRefresh="0" nextId="8">
    <queryTableFields count="7">
      <queryTableField id="1" name="AGE_LEVEL_HUSBD_ARB" tableColumnId="1"/>
      <queryTableField id="2" name="NOT_MARRIED" tableColumnId="2"/>
      <queryTableField id="3" name="DIVORCES" tableColumnId="3"/>
      <queryTableField id="4" name="WIDOWED" tableColumnId="4"/>
      <queryTableField id="5" name="NOT_STATED" tableColumnId="5"/>
      <queryTableField id="6" name="TOTAL" tableColumnId="6"/>
      <queryTableField id="7" name="AGE_LEVEL_HUSBD_ENG" tableColumnId="7"/>
    </queryTableFields>
  </queryTableRefresh>
</queryTable>
</file>

<file path=xl/queryTables/queryTable19.xml><?xml version="1.0" encoding="utf-8"?>
<queryTable xmlns="http://schemas.openxmlformats.org/spreadsheetml/2006/main" name="(Default) XLS_TAB_15_1" headers="0" backgroundRefresh="0" growShrinkType="overwriteClear" adjustColumnWidth="0" connectionId="15"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xml><?xml version="1.0" encoding="utf-8"?>
<queryTable xmlns="http://schemas.openxmlformats.org/spreadsheetml/2006/main" name="(Default) XLS_TAB_2" headers="0" backgroundRefresh="0" growShrinkType="overwriteClear" adjustColumnWidth="0" connectionId="28" autoFormatId="16" applyNumberFormats="0" applyBorderFormats="0" applyFontFormats="0" applyPatternFormats="0" applyAlignmentFormats="0" applyWidthHeightFormats="0">
  <queryTableRefresh headersInLastRefresh="0" nextId="15">
    <queryTableFields count="14">
      <queryTableField id="1" name="YEAR_AR" tableColumnId="1"/>
      <queryTableField id="2" name="M_QTRI_COUNT" tableColumnId="2"/>
      <queryTableField id="3" name="M_NQTRI_COUNT" tableColumnId="3"/>
      <queryTableField id="4" name="M_QTRI_TOT_COUNT" tableColumnId="4"/>
      <queryTableField id="5" name="M_QTRI_W_COUNT" tableColumnId="5"/>
      <queryTableField id="6" name="M_NQTRI_W_COUNT" tableColumnId="6"/>
      <queryTableField id="7" name="M_QTRI_TOT_COUNT" tableColumnId="7"/>
      <queryTableField id="8" name="D_QTRI_COUNT" tableColumnId="8"/>
      <queryTableField id="9" name="D_NQTRI_COUNT" tableColumnId="9"/>
      <queryTableField id="10" name="D_QTRI_TOT_COUNT" tableColumnId="10"/>
      <queryTableField id="11" name="D_QTRI_W_COUNT" tableColumnId="11"/>
      <queryTableField id="12" name="D_NQTRI_W_COUNT" tableColumnId="12"/>
      <queryTableField id="13" name="D_QTRI_TOT_COUNT" tableColumnId="13"/>
      <queryTableField id="14" name="YEAR_ENG" tableColumnId="14"/>
    </queryTableFields>
  </queryTableRefresh>
</queryTable>
</file>

<file path=xl/queryTables/queryTable20.xml><?xml version="1.0" encoding="utf-8"?>
<queryTable xmlns="http://schemas.openxmlformats.org/spreadsheetml/2006/main" name="(Default) XLS_TAB_15_2" headers="0" backgroundRefresh="0" growShrinkType="overwriteClear" adjustColumnWidth="0" connectionId="16"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1.xml><?xml version="1.0" encoding="utf-8"?>
<queryTable xmlns="http://schemas.openxmlformats.org/spreadsheetml/2006/main" name="(Default) XLS_TAB_15_3" headers="0" backgroundRefresh="0" growShrinkType="overwriteClear" adjustColumnWidth="0" connectionId="17" autoFormatId="16" applyNumberFormats="0" applyBorderFormats="0" applyFontFormats="0" applyPatternFormats="0" applyAlignmentFormats="0" applyWidthHeightFormats="0">
  <queryTableRefresh headersInLastRefresh="0" nextId="7">
    <queryTableFields count="6">
      <queryTableField id="1" name="AGE_LEVEL_ARB" tableColumnId="1"/>
      <queryTableField id="2" name="HUSBD_CNT" tableColumnId="2"/>
      <queryTableField id="3" name="WIFE_CNT" tableColumnId="3"/>
      <queryTableField id="4" name="TOTAL" tableColumnId="4"/>
      <queryTableField id="5" name="PSTG" tableColumnId="5"/>
      <queryTableField id="6" name="AGE_LEVEL_ENG" tableColumnId="6"/>
    </queryTableFields>
  </queryTableRefresh>
</queryTable>
</file>

<file path=xl/queryTables/queryTable22.xml><?xml version="1.0" encoding="utf-8"?>
<queryTable xmlns="http://schemas.openxmlformats.org/spreadsheetml/2006/main" name="(Default) XLS_TAB_16_1" headers="0" backgroundRefresh="0" growShrinkType="overwriteClear" adjustColumnWidth="0" connectionId="18"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3.xml><?xml version="1.0" encoding="utf-8"?>
<queryTable xmlns="http://schemas.openxmlformats.org/spreadsheetml/2006/main" name="(Default) XLS_TAB_16_2" headers="0" backgroundRefresh="0" growShrinkType="overwriteClear" adjustColumnWidth="0" connectionId="19"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4.xml><?xml version="1.0" encoding="utf-8"?>
<queryTable xmlns="http://schemas.openxmlformats.org/spreadsheetml/2006/main" name="(Default) XLS_TAB_16_3" headers="0" backgroundRefresh="0" growShrinkType="overwriteClear" adjustColumnWidth="0" connectionId="20"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25.xml><?xml version="1.0" encoding="utf-8"?>
<queryTable xmlns="http://schemas.openxmlformats.org/spreadsheetml/2006/main" name="(Default) XLS_TAB_17_1" headers="0" backgroundRefresh="0" growShrinkType="overwriteClear" adjustColumnWidth="0" connectionId="21"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6.xml><?xml version="1.0" encoding="utf-8"?>
<queryTable xmlns="http://schemas.openxmlformats.org/spreadsheetml/2006/main" name="(Default) XLS_TAB_17_2" headers="0" backgroundRefresh="0" growShrinkType="overwriteClear" adjustColumnWidth="0" connectionId="22"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7.xml><?xml version="1.0" encoding="utf-8"?>
<queryTable xmlns="http://schemas.openxmlformats.org/spreadsheetml/2006/main" name="(Default) XLS_TAB_17_3" headers="0" backgroundRefresh="0" growShrinkType="overwriteClear" adjustColumnWidth="0" connectionId="23"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28.xml><?xml version="1.0" encoding="utf-8"?>
<queryTable xmlns="http://schemas.openxmlformats.org/spreadsheetml/2006/main" name="(Default) XLS_TAB_18_1" headers="0" backgroundRefresh="0" growShrinkType="overwriteClear" adjustColumnWidth="0" connectionId="2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29.xml><?xml version="1.0" encoding="utf-8"?>
<queryTable xmlns="http://schemas.openxmlformats.org/spreadsheetml/2006/main" name="(Default) XLS_TAB_18_2" headers="0" backgroundRefresh="0" growShrinkType="overwriteClear" adjustColumnWidth="0" connectionId="2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xml><?xml version="1.0" encoding="utf-8"?>
<queryTable xmlns="http://schemas.openxmlformats.org/spreadsheetml/2006/main" name="(Default) XLS_TAB_7" headers="0" backgroundRefresh="0" growShrinkType="overwriteClear" adjustColumnWidth="0" connectionId="81"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30.xml><?xml version="1.0" encoding="utf-8"?>
<queryTable xmlns="http://schemas.openxmlformats.org/spreadsheetml/2006/main" name="(Default) XLS_TAB_18_3" headers="0" backgroundRefresh="0" growShrinkType="overwriteClear" adjustColumnWidth="0" connectionId="26"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31.xml><?xml version="1.0" encoding="utf-8"?>
<queryTable xmlns="http://schemas.openxmlformats.org/spreadsheetml/2006/main" name="(Default) XLS_TAB_19" headers="0" backgroundRefresh="0" growShrinkType="overwriteClear" adjustColumnWidth="0" connectionId="27"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2.xml><?xml version="1.0" encoding="utf-8"?>
<queryTable xmlns="http://schemas.openxmlformats.org/spreadsheetml/2006/main" name="(Default) XLS_TAB_20" headers="0" backgroundRefresh="0" growShrinkType="overwriteClear" adjustColumnWidth="0" connectionId="29" autoFormatId="16" applyNumberFormats="0" applyBorderFormats="0" applyFontFormats="0" applyPatternFormats="0" applyAlignmentFormats="0" applyWidthHeightFormats="0">
  <queryTableRefresh headersInLastRefresh="0" nextId="9">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Refresh>
</queryTable>
</file>

<file path=xl/queryTables/queryTable33.xml><?xml version="1.0" encoding="utf-8"?>
<queryTable xmlns="http://schemas.openxmlformats.org/spreadsheetml/2006/main" name="(Default) XLS_TAB_23" headers="0" backgroundRefresh="0" growShrinkType="overwriteClear" adjustColumnWidth="0" connectionId="30" autoFormatId="16" applyNumberFormats="0" applyBorderFormats="0" applyFontFormats="0" applyPatternFormats="0" applyAlignmentFormats="0" applyWidthHeightFormats="0">
  <queryTableRefresh headersInLastRefresh="0" nextId="7">
    <queryTableFields count="6">
      <queryTableField id="1" name="M_QTRI_COUNT" tableColumnId="1"/>
      <queryTableField id="2" name="M_NQTRI_COUNT" tableColumnId="2"/>
      <queryTableField id="3" name="M_QTRI_TOT_COUNT" tableColumnId="3"/>
      <queryTableField id="4" name="W_QTRI_COUNT" tableColumnId="4"/>
      <queryTableField id="5" name="W_NQTRI_COUNT" tableColumnId="5"/>
      <queryTableField id="6" name="W_QTRI_TOT_COUNT" tableColumnId="6"/>
    </queryTableFields>
  </queryTableRefresh>
</queryTable>
</file>

<file path=xl/queryTables/queryTable34.xml><?xml version="1.0" encoding="utf-8"?>
<queryTable xmlns="http://schemas.openxmlformats.org/spreadsheetml/2006/main" name="(Default) XLS_TAB_24" headers="0" backgroundRefresh="0" growShrinkType="overwriteClear" adjustColumnWidth="0" connectionId="31"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5.xml><?xml version="1.0" encoding="utf-8"?>
<queryTable xmlns="http://schemas.openxmlformats.org/spreadsheetml/2006/main" name="(Default) XLS_TAB_25_1" headers="0" backgroundRefresh="0" growShrinkType="overwriteClear" adjustColumnWidth="0" connectionId="32"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6.xml><?xml version="1.0" encoding="utf-8"?>
<queryTable xmlns="http://schemas.openxmlformats.org/spreadsheetml/2006/main" name="(Default) XLS_TAB_25_2" headers="0" backgroundRefresh="0" growShrinkType="overwriteClear" adjustColumnWidth="0" connectionId="33"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7.xml><?xml version="1.0" encoding="utf-8"?>
<queryTable xmlns="http://schemas.openxmlformats.org/spreadsheetml/2006/main" name="(Default) XLS_TAB_25_3" headers="0" backgroundRefresh="0" growShrinkType="overwriteClear" adjustColumnWidth="0" connectionId="3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8.xml><?xml version="1.0" encoding="utf-8"?>
<queryTable xmlns="http://schemas.openxmlformats.org/spreadsheetml/2006/main" name="(Default) XLS_TAB_26_2" headers="0" backgroundRefresh="0" growShrinkType="overwriteClear" adjustColumnWidth="0" connectionId="36"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39.xml><?xml version="1.0" encoding="utf-8"?>
<queryTable xmlns="http://schemas.openxmlformats.org/spreadsheetml/2006/main" name="(Default) XLS_TAB_26_2" headers="0" backgroundRefresh="0" growShrinkType="overwriteClear" adjustColumnWidth="0" connectionId="3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xml><?xml version="1.0" encoding="utf-8"?>
<queryTable xmlns="http://schemas.openxmlformats.org/spreadsheetml/2006/main" name="(Default) XLS_TAB_8" headers="0" backgroundRefresh="0" growShrinkType="overwriteClear" adjustColumnWidth="0" connectionId="82" autoFormatId="16" applyNumberFormats="0" applyBorderFormats="0" applyFontFormats="0" applyPatternFormats="0" applyAlignmentFormats="0" applyWidthHeightFormats="0">
  <queryTableRefresh headersInLastRefresh="0" nextId="9">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DeletedFields count="1">
      <deletedField name="ROW_ORDER"/>
    </queryTableDeletedFields>
  </queryTableRefresh>
</queryTable>
</file>

<file path=xl/queryTables/queryTable40.xml><?xml version="1.0" encoding="utf-8"?>
<queryTable xmlns="http://schemas.openxmlformats.org/spreadsheetml/2006/main" name="(Default) XLS_TAB_26_2" headers="0" backgroundRefresh="0" growShrinkType="overwriteClear" adjustColumnWidth="0" connectionId="37"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1.xml><?xml version="1.0" encoding="utf-8"?>
<queryTable xmlns="http://schemas.openxmlformats.org/spreadsheetml/2006/main" name="(Default) XLS_TAB_27_2" headers="0" backgroundRefresh="0" growShrinkType="overwriteClear" adjustColumnWidth="0" connectionId="40" autoFormatId="16" applyNumberFormats="0" applyBorderFormats="0" applyFontFormats="0" applyPatternFormats="0" applyAlignmentFormats="0" applyWidthHeightFormats="0">
  <queryTableRefresh headersInLastRefresh="0" nextId="7">
    <queryTableFields count="6">
      <queryTableField id="1" name="BAAN_SMALLER_CNT" tableColumnId="1"/>
      <queryTableField id="2" name="RAJEE_CNT" tableColumnId="2"/>
      <queryTableField id="3" name="KHULLA_CNT" tableColumnId="3"/>
      <queryTableField id="4" name="BAAN_GREATER_CNT" tableColumnId="4"/>
      <queryTableField id="6" dataBound="0" tableColumnId="6"/>
      <queryTableField id="5" name="TOTAL" tableColumnId="5"/>
    </queryTableFields>
  </queryTableRefresh>
</queryTable>
</file>

<file path=xl/queryTables/queryTable42.xml><?xml version="1.0" encoding="utf-8"?>
<queryTable xmlns="http://schemas.openxmlformats.org/spreadsheetml/2006/main" name="(Default) XLS_TAB_27_1" headers="0" backgroundRefresh="0" growShrinkType="overwriteClear" adjustColumnWidth="0" connectionId="38"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3.xml><?xml version="1.0" encoding="utf-8"?>
<queryTable xmlns="http://schemas.openxmlformats.org/spreadsheetml/2006/main" name="(Default) XLS_TAB_27_1" headers="0" backgroundRefresh="0" growShrinkType="overwriteClear" adjustColumnWidth="0" connectionId="39"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4.xml><?xml version="1.0" encoding="utf-8"?>
<queryTable xmlns="http://schemas.openxmlformats.org/spreadsheetml/2006/main" name="(Default) XLS_TAB_27_3" headers="0" backgroundRefresh="0" growShrinkType="overwriteClear" adjustColumnWidth="0" connectionId="42"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5.xml><?xml version="1.0" encoding="utf-8"?>
<queryTable xmlns="http://schemas.openxmlformats.org/spreadsheetml/2006/main" name="(Default) XLS_TAB_30_2" headers="0" backgroundRefresh="0" growShrinkType="overwriteClear" adjustColumnWidth="0" connectionId="49" autoFormatId="16" applyNumberFormats="0" applyBorderFormats="0" applyFontFormats="0" applyPatternFormats="0" applyAlignmentFormats="0" applyWidthHeightFormats="0">
  <queryTableRefresh headersInLastRefresh="0" nextId="15">
    <queryTableFields count="14">
      <queryTableField id="1" name="MARRD_PRD_HUSBD_ARB" tableColumnId="1"/>
      <queryTableField id="2" name="CAT_1_HSB_CNT" tableColumnId="2"/>
      <queryTableField id="3" name="CAT_1_WFE_CNT" tableColumnId="3"/>
      <queryTableField id="4" name="CAT_2_HSB_CNT" tableColumnId="4"/>
      <queryTableField id="5" name="CAT_2_WFE_CNT" tableColumnId="5"/>
      <queryTableField id="6" name="CAT_3_HSB_CNT" tableColumnId="6"/>
      <queryTableField id="7" name="CAT_3_WFE_CNT" tableColumnId="7"/>
      <queryTableField id="8" name="CAT_4_HSB_CNT" tableColumnId="8"/>
      <queryTableField id="9" name="CAT_4_WFE_CNT" tableColumnId="9"/>
      <queryTableField id="10" name="TOT_HSB_CNT" tableColumnId="10"/>
      <queryTableField id="11" name="TOT_WFE_CNT" tableColumnId="11"/>
      <queryTableField id="12" name="TOT_NOTSTAT_CNT" tableColumnId="12"/>
      <queryTableField id="13" name="G_TOTAL" tableColumnId="13"/>
      <queryTableField id="14" name="MARRD_PRD_HUSBD_ENG" tableColumnId="14"/>
    </queryTableFields>
  </queryTableRefresh>
</queryTable>
</file>

<file path=xl/queryTables/queryTable46.xml><?xml version="1.0" encoding="utf-8"?>
<queryTable xmlns="http://schemas.openxmlformats.org/spreadsheetml/2006/main" name="(Default) XLS_TAB_28_1" headers="0" backgroundRefresh="0" growShrinkType="overwriteClear" adjustColumnWidth="0" connectionId="43"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7.xml><?xml version="1.0" encoding="utf-8"?>
<queryTable xmlns="http://schemas.openxmlformats.org/spreadsheetml/2006/main" name="(Default) XLS_TAB_28_1" headers="0" backgroundRefresh="0" growShrinkType="overwriteClear" adjustColumnWidth="0" connectionId="44"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8.xml><?xml version="1.0" encoding="utf-8"?>
<queryTable xmlns="http://schemas.openxmlformats.org/spreadsheetml/2006/main" name="(Default) XLS_TAB_28_3" headers="0" backgroundRefresh="0" growShrinkType="overwriteClear" adjustColumnWidth="0" connectionId="45" autoFormatId="16" applyNumberFormats="0" applyBorderFormats="0" applyFontFormats="0" applyPatternFormats="0" applyAlignmentFormats="0" applyWidthHeightFormats="0">
  <queryTableRefresh headersInLastRefresh="0" nextId="7">
    <queryTableFields count="6">
      <queryTableField id="1" name="BAAN_SMALLERQATAR" tableColumnId="1"/>
      <queryTableField id="2" name="RAJEE" tableColumnId="2"/>
      <queryTableField id="3" name="KHULLA" tableColumnId="3"/>
      <queryTableField id="4" name="BAAN_GREATER" tableColumnId="4"/>
      <queryTableField id="6" dataBound="0" tableColumnId="6"/>
      <queryTableField id="5" name="TOTAL" tableColumnId="5"/>
    </queryTableFields>
  </queryTableRefresh>
</queryTable>
</file>

<file path=xl/queryTables/queryTable49.xml><?xml version="1.0" encoding="utf-8"?>
<queryTable xmlns="http://schemas.openxmlformats.org/spreadsheetml/2006/main" name="(Default) XLS_TAB_29_1" headers="0" backgroundRefresh="0" growShrinkType="overwriteClear" adjustColumnWidth="0" connectionId="46"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xml><?xml version="1.0" encoding="utf-8"?>
<queryTable xmlns="http://schemas.openxmlformats.org/spreadsheetml/2006/main" name="(Default) XLS_TAB_9" headers="0" backgroundRefresh="0" growShrinkType="overwriteClear" adjustColumnWidth="0" connectionId="83" autoFormatId="16" applyNumberFormats="0" applyBorderFormats="0" applyFontFormats="0" applyPatternFormats="0" applyAlignmentFormats="0" applyWidthHeightFormats="0">
  <queryTableRefresh headersInLastRefresh="0" nextId="18">
    <queryTableFields count="17">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60_64" tableColumnId="11"/>
      <queryTableField id="12" name="AGE_LEVEL_65_70" tableColumnId="12"/>
      <queryTableField id="13" name="AGE_LEVEL_70_74" tableColumnId="13"/>
      <queryTableField id="14" name="AGE_LEVEL_75" tableColumnId="14"/>
      <queryTableField id="15" name="AGE_LEVEL_NOT_STATED" tableColumnId="15"/>
      <queryTableField id="16" name="TOTAL" tableColumnId="16"/>
      <queryTableField id="17" name="NAT_DESC_ENG" tableColumnId="17"/>
    </queryTableFields>
  </queryTableRefresh>
</queryTable>
</file>

<file path=xl/queryTables/queryTable50.xml><?xml version="1.0" encoding="utf-8"?>
<queryTable xmlns="http://schemas.openxmlformats.org/spreadsheetml/2006/main" name="(Default) XLS_TAB_29_2" headers="0" backgroundRefresh="0" growShrinkType="overwriteClear" adjustColumnWidth="0" connectionId="47"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1.xml><?xml version="1.0" encoding="utf-8"?>
<queryTable xmlns="http://schemas.openxmlformats.org/spreadsheetml/2006/main" name="(Default) XLS_TAB_29_3" headers="0" backgroundRefresh="0" growShrinkType="overwriteClear" adjustColumnWidth="0" connectionId="48"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2.xml><?xml version="1.0" encoding="utf-8"?>
<queryTable xmlns="http://schemas.openxmlformats.org/spreadsheetml/2006/main" name="(Default) XLS_TAB_30_3" headers="0" backgroundRefresh="0" growShrinkType="overwriteClear" adjustColumnWidth="0" connectionId="52"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3.xml><?xml version="1.0" encoding="utf-8"?>
<queryTable xmlns="http://schemas.openxmlformats.org/spreadsheetml/2006/main" name="(Default) XLS_TAB_30_3" headers="0" backgroundRefresh="0" growShrinkType="overwriteClear" adjustColumnWidth="0" connectionId="51"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4.xml><?xml version="1.0" encoding="utf-8"?>
<queryTable xmlns="http://schemas.openxmlformats.org/spreadsheetml/2006/main" name="(Default) XLS_TAB_30_3" headers="0" backgroundRefresh="0" growShrinkType="overwriteClear" adjustColumnWidth="0" connectionId="50" autoFormatId="16" applyNumberFormats="0" applyBorderFormats="0" applyFontFormats="0" applyPatternFormats="0" applyAlignmentFormats="0" applyWidthHeightFormats="0">
  <queryTableRefresh headersInLastRefresh="0" nextId="16">
    <queryTableFields count="15">
      <queryTableField id="1" name="AGE_LEVEL_ARB" tableColumnId="1"/>
      <queryTableField id="2" name="B_CONS_CNT" tableColumnId="2"/>
      <queryTableField id="3" name="BELOW_1_CNT" tableColumnId="3"/>
      <queryTableField id="4" name="CNT_1" tableColumnId="4"/>
      <queryTableField id="5" name="CNT_2" tableColumnId="5"/>
      <queryTableField id="6" name="CNT_3" tableColumnId="6"/>
      <queryTableField id="7" name="CNT_4" tableColumnId="7"/>
      <queryTableField id="8" name="CNT_5_9" tableColumnId="8"/>
      <queryTableField id="9" name="CNT_10_14" tableColumnId="9"/>
      <queryTableField id="10" name="CNT_15_19" tableColumnId="10"/>
      <queryTableField id="11" name="CNT_20_24" tableColumnId="11"/>
      <queryTableField id="12" name="CNT_UP_25" tableColumnId="12"/>
      <queryTableField id="13" name="NOT_STATED" tableColumnId="13"/>
      <queryTableField id="14" name="TOTAL" tableColumnId="14"/>
      <queryTableField id="15" name="AGE_LEVEL_ENG" tableColumnId="15"/>
    </queryTableFields>
  </queryTableRefresh>
</queryTable>
</file>

<file path=xl/queryTables/queryTable55.xml><?xml version="1.0" encoding="utf-8"?>
<queryTable xmlns="http://schemas.openxmlformats.org/spreadsheetml/2006/main" name="(Default) XLS_TAB_31_1" headers="0" backgroundRefresh="0" growShrinkType="overwriteClear" adjustColumnWidth="0" connectionId="53"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56.xml><?xml version="1.0" encoding="utf-8"?>
<queryTable xmlns="http://schemas.openxmlformats.org/spreadsheetml/2006/main" name="(Default) XLS_TAB_31_2" headers="0" backgroundRefresh="0" growShrinkType="overwriteClear" adjustColumnWidth="0" connectionId="54"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57.xml><?xml version="1.0" encoding="utf-8"?>
<queryTable xmlns="http://schemas.openxmlformats.org/spreadsheetml/2006/main" name="(Default) XLS_TAB_31_3" headers="0" backgroundRefresh="0" growShrinkType="overwriteClear" adjustColumnWidth="0" connectionId="55"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GE_LEVEL_ENG" tableColumnId="14"/>
    </queryTableFields>
  </queryTableRefresh>
</queryTable>
</file>

<file path=xl/queryTables/queryTable58.xml><?xml version="1.0" encoding="utf-8"?>
<queryTable xmlns="http://schemas.openxmlformats.org/spreadsheetml/2006/main" name="(Default) XLS_TAB_32" headers="0" backgroundRefresh="0" growShrinkType="overwriteClear" adjustColumnWidth="0" connectionId="56" autoFormatId="16" applyNumberFormats="0" applyBorderFormats="0" applyFontFormats="0" applyPatternFormats="0" applyAlignmentFormats="0" applyWidthHeightFormats="0">
  <queryTableRefresh headersInLastRefresh="0" nextId="18">
    <queryTableFields count="17">
      <queryTableField id="1" name="AREA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60_64" tableColumnId="11"/>
      <queryTableField id="12" name="CNT_65_69" tableColumnId="12"/>
      <queryTableField id="13" name="CNT_70_74" tableColumnId="13"/>
      <queryTableField id="14" name="CNT_UP_75" tableColumnId="14"/>
      <queryTableField id="15" name="NOT_STATED" tableColumnId="15"/>
      <queryTableField id="16" name="TOTAL" tableColumnId="16"/>
      <queryTableField id="17" name="AREA_ENG" tableColumnId="17"/>
    </queryTableFields>
  </queryTableRefresh>
</queryTable>
</file>

<file path=xl/queryTables/queryTable59.xml><?xml version="1.0" encoding="utf-8"?>
<queryTable xmlns="http://schemas.openxmlformats.org/spreadsheetml/2006/main" name="(Default) XLS_TAB_33" headers="0" backgroundRefresh="0" growShrinkType="overwriteClear" adjustColumnWidth="0" connectionId="57" autoFormatId="16" applyNumberFormats="0" applyBorderFormats="0" applyFontFormats="0" applyPatternFormats="0" applyAlignmentFormats="0" applyWidthHeightFormats="0">
  <queryTableRefresh headersInLastRefresh="0" nextId="15">
    <queryTableFields count="14">
      <queryTableField id="1" name="AREA_ARB" tableColumnId="1"/>
      <queryTableField id="2" name="CNT_BELOW_20" tableColumnId="2"/>
      <queryTableField id="3" name="CNT_20_24" tableColumnId="3"/>
      <queryTableField id="4" name="CNT_25_29" tableColumnId="4"/>
      <queryTableField id="5" name="CNT_30_34" tableColumnId="5"/>
      <queryTableField id="6" name="CNT_35_39" tableColumnId="6"/>
      <queryTableField id="7" name="CNT_40_44" tableColumnId="7"/>
      <queryTableField id="8" name="CNT_45_49" tableColumnId="8"/>
      <queryTableField id="9" name="CNT_50_54" tableColumnId="9"/>
      <queryTableField id="10" name="CNT_55_59" tableColumnId="10"/>
      <queryTableField id="11" name="CNT_UP_60" tableColumnId="11"/>
      <queryTableField id="12" name="NOT_STATED" tableColumnId="12"/>
      <queryTableField id="13" name="TOTAL" tableColumnId="13"/>
      <queryTableField id="14" name="AREA_ENG" tableColumnId="14"/>
    </queryTableFields>
  </queryTableRefresh>
</queryTable>
</file>

<file path=xl/queryTables/queryTable6.xml><?xml version="1.0" encoding="utf-8"?>
<queryTable xmlns="http://schemas.openxmlformats.org/spreadsheetml/2006/main" name="(Default) XLS_TAB_10" headers="0" backgroundRefresh="0" growShrinkType="overwriteClear" adjustColumnWidth="0" connectionId="2" autoFormatId="16" applyNumberFormats="0" applyBorderFormats="0" applyFontFormats="0" applyPatternFormats="0" applyAlignmentFormats="0" applyWidthHeightFormats="0">
  <queryTableRefresh headersInLastRefresh="0" nextId="15">
    <queryTableFields count="14">
      <queryTableField id="1" name="NAT_DESC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NAT_DESC_ENG" tableColumnId="14"/>
    </queryTableFields>
  </queryTableRefresh>
</queryTable>
</file>

<file path=xl/queryTables/queryTable60.xml><?xml version="1.0" encoding="utf-8"?>
<queryTable xmlns="http://schemas.openxmlformats.org/spreadsheetml/2006/main" name="(Default) XLS_TAB_34" headers="0" backgroundRefresh="0" growShrinkType="overwriteClear" adjustColumnWidth="0" connectionId="58" autoFormatId="16" applyNumberFormats="0" applyBorderFormats="0" applyFontFormats="0" applyPatternFormats="0" applyAlignmentFormats="0" applyWidthHeightFormats="0">
  <queryTableRefresh headersInLastRefresh="0" nextId="8">
    <queryTableFields count="7">
      <queryTableField id="1" name="QATAR" tableColumnId="1"/>
      <queryTableField id="2" name="OTHER_G_C_C_COUNTRIES" tableColumnId="2"/>
      <queryTableField id="3" name="OTHER_ARAB_COUNTRIES" tableColumnId="3"/>
      <queryTableField id="4" name="ASIAN_COUNTRIES" tableColumnId="4"/>
      <queryTableField id="5" name="EUROPEAN_COUNTRIES" tableColumnId="5"/>
      <queryTableField id="6" name="OTHER_COUNTRIES" tableColumnId="6"/>
      <queryTableField id="7" name="TOTAL" tableColumnId="7"/>
    </queryTableFields>
  </queryTableRefresh>
</queryTable>
</file>

<file path=xl/queryTables/queryTable61.xml><?xml version="1.0" encoding="utf-8"?>
<queryTable xmlns="http://schemas.openxmlformats.org/spreadsheetml/2006/main" name="(Default) XLS_TAB_35" headers="0" backgroundRefresh="0" growShrinkType="overwriteClear" adjustColumnWidth="0" connectionId="59" autoFormatId="16" applyNumberFormats="0" applyBorderFormats="0" applyFontFormats="0" applyPatternFormats="0" applyAlignmentFormats="0" applyWidthHeightFormats="0">
  <queryTableRefresh headersInLastRefresh="0" nextId="15">
    <queryTableFields count="14">
      <queryTableField id="1" name="AGE_LEVEL_ARB" tableColumnId="1"/>
      <queryTableField id="2" name="Q_NONE_CNT" tableColumnId="2"/>
      <queryTableField id="3" name="Q_1_CNT" tableColumnId="3"/>
      <queryTableField id="4" name="Q_2_CNT" tableColumnId="4"/>
      <queryTableField id="5" name="Q_4_CNT" tableColumnId="5"/>
      <queryTableField id="6" name="Q_NOT_STATED" tableColumnId="6"/>
      <queryTableField id="7" name="Q_TOT_CNT" tableColumnId="7"/>
      <queryTableField id="8" name="NQ_NONE_CNT" tableColumnId="8"/>
      <queryTableField id="9" name="NQ_1_CNT" tableColumnId="9"/>
      <queryTableField id="10" name="NQ_2_CNT" tableColumnId="10"/>
      <queryTableField id="11" name="NQ_4_CNT" tableColumnId="11"/>
      <queryTableField id="12" name="NQ_NOT_STATED" tableColumnId="12"/>
      <queryTableField id="13" name="NQ_TOT_CNT" tableColumnId="13"/>
      <queryTableField id="14" name="AGE_LEVEL_ENG" tableColumnId="14"/>
    </queryTableFields>
  </queryTableRefresh>
</queryTable>
</file>

<file path=xl/queryTables/queryTable62.xml><?xml version="1.0" encoding="utf-8"?>
<queryTable xmlns="http://schemas.openxmlformats.org/spreadsheetml/2006/main" name="(Default) XLS_TAB_36_1" headers="0" backgroundRefresh="0" growShrinkType="overwriteClear" adjustColumnWidth="0" connectionId="60"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3.xml><?xml version="1.0" encoding="utf-8"?>
<queryTable xmlns="http://schemas.openxmlformats.org/spreadsheetml/2006/main" name="(Default) XLS_TAB_36_2" headers="0" backgroundRefresh="0" growShrinkType="overwriteClear" adjustColumnWidth="0" connectionId="61"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4.xml><?xml version="1.0" encoding="utf-8"?>
<queryTable xmlns="http://schemas.openxmlformats.org/spreadsheetml/2006/main" name="(Default) XLS_TAB_36_3" headers="0" backgroundRefresh="0" growShrinkType="overwriteClear" adjustColumnWidth="0" connectionId="62"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5.xml><?xml version="1.0" encoding="utf-8"?>
<queryTable xmlns="http://schemas.openxmlformats.org/spreadsheetml/2006/main" name="(Default) XLS_TAB_37_1" headers="0" backgroundRefresh="0" growShrinkType="overwriteClear" adjustColumnWidth="0" connectionId="63"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6.xml><?xml version="1.0" encoding="utf-8"?>
<queryTable xmlns="http://schemas.openxmlformats.org/spreadsheetml/2006/main" name="(Default) XLS_TAB_37_2" headers="0" backgroundRefresh="0" growShrinkType="overwriteClear" adjustColumnWidth="0" connectionId="64"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7.xml><?xml version="1.0" encoding="utf-8"?>
<queryTable xmlns="http://schemas.openxmlformats.org/spreadsheetml/2006/main" name="(Default) XLS_TAB_37_3" headers="0" backgroundRefresh="0" growShrinkType="overwriteClear" adjustColumnWidth="0" connectionId="65" autoFormatId="16" applyNumberFormats="0" applyBorderFormats="0" applyFontFormats="0" applyPatternFormats="0" applyAlignmentFormats="0" applyWidthHeightFormats="0">
  <queryTableRefresh headersInLastRefresh="0" nextId="10">
    <queryTableFields count="9">
      <queryTableField id="1" name="ILLITERATE_CNT" tableColumnId="1"/>
      <queryTableField id="2" name="READ_AND_WRITE_CNT" tableColumnId="2"/>
      <queryTableField id="3" name="PRIMARY_CNT" tableColumnId="3"/>
      <queryTableField id="4" name="PREPARATORY_CNT" tableColumnId="4"/>
      <queryTableField id="5" name="SECONDARY_CNT" tableColumnId="5"/>
      <queryTableField id="6" name="PRE_UNIVERSITY_CNT" tableColumnId="6"/>
      <queryTableField id="7" name="UNIV_ABOVE_CNT" tableColumnId="7"/>
      <queryTableField id="8" name="NOT_STATED_CNT" tableColumnId="8"/>
      <queryTableField id="9" name="TOTAL" tableColumnId="9"/>
    </queryTableFields>
  </queryTableRefresh>
</queryTable>
</file>

<file path=xl/queryTables/queryTable68.xml><?xml version="1.0" encoding="utf-8"?>
<queryTable xmlns="http://schemas.openxmlformats.org/spreadsheetml/2006/main" name="(Default) XLS_TAB_38_1" headers="0" backgroundRefresh="0" growShrinkType="overwriteClear" adjustColumnWidth="0" connectionId="66"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69.xml><?xml version="1.0" encoding="utf-8"?>
<queryTable xmlns="http://schemas.openxmlformats.org/spreadsheetml/2006/main" name="(Default) XLS_TAB_38_2" headers="0" backgroundRefresh="0" growShrinkType="overwriteClear" adjustColumnWidth="0" connectionId="67" autoFormatId="16" applyNumberFormats="0" applyBorderFormats="0" applyFontFormats="0" applyPatternFormats="0" applyAlignmentFormats="0" applyWidthHeightFormats="0">
  <queryTableRefresh headersInLastRefresh="0" nextId="16">
    <queryTableFields count="15">
      <queryTableField id="1" name="JOB_ARB"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name="JOB_ENG" tableColumnId="15"/>
    </queryTableFields>
  </queryTableRefresh>
</queryTable>
</file>

<file path=xl/queryTables/queryTable7.xml><?xml version="1.0" encoding="utf-8"?>
<queryTable xmlns="http://schemas.openxmlformats.org/spreadsheetml/2006/main" name="(Default) XLS_TAB_11_1" headers="0" backgroundRefresh="0" growShrinkType="overwriteClear" adjustColumnWidth="0" connectionId="3"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0.xml><?xml version="1.0" encoding="utf-8"?>
<queryTable xmlns="http://schemas.openxmlformats.org/spreadsheetml/2006/main" name="(Default) XLS_TAB_38_3" headers="0" backgroundRefresh="0" growShrinkType="overwriteClear" adjustColumnWidth="0" connectionId="68" autoFormatId="16" applyNumberFormats="0" applyBorderFormats="0" applyFontFormats="0" applyPatternFormats="0" applyAlignmentFormats="0" applyWidthHeightFormats="0">
  <queryTableRefresh headersInLastRefresh="0" nextId="16" unboundColumnsLeft="1" unboundColumnsRight="1">
    <queryTableFields count="15">
      <queryTableField id="1" dataBound="0" tableColumnId="1"/>
      <queryTableField id="2" name="LEGISLATORS_CNT" tableColumnId="2"/>
      <queryTableField id="3" name="PROFESSIONALS_CNT" tableColumnId="3"/>
      <queryTableField id="4" name="TECHNICIANS_CNT" tableColumnId="4"/>
      <queryTableField id="5" name="CLERKS_CNT" tableColumnId="5"/>
      <queryTableField id="6" name="SERVICE_WORKERS_CNT" tableColumnId="6"/>
      <queryTableField id="7" name="SKILLED_AGRICULTURAL_CNT" tableColumnId="7"/>
      <queryTableField id="8" name="CRAFT_CNT" tableColumnId="8"/>
      <queryTableField id="9" name="PLANT_CNT" tableColumnId="9"/>
      <queryTableField id="10" name="ELEMENTARY_OCCUPATIONS_CNT" tableColumnId="10"/>
      <queryTableField id="11" name="NOT_KNOWN_CNT" tableColumnId="11"/>
      <queryTableField id="12" name="TOTAL" tableColumnId="12"/>
      <queryTableField id="13" name="NO_OCCUP" tableColumnId="13"/>
      <queryTableField id="14" name="GRND_TOTAL" tableColumnId="14"/>
      <queryTableField id="15" dataBound="0" tableColumnId="15"/>
    </queryTableFields>
    <queryTableDeletedFields count="2">
      <deletedField name="JOB_ARB"/>
      <deletedField name="JOB_ENG"/>
    </queryTableDeletedFields>
  </queryTableRefresh>
</queryTable>
</file>

<file path=xl/queryTables/queryTable71.xml><?xml version="1.0" encoding="utf-8"?>
<queryTable xmlns="http://schemas.openxmlformats.org/spreadsheetml/2006/main" name="(Default) XLS_TAB_39_1" headers="0" backgroundRefresh="0" growShrinkType="overwriteClear" adjustColumnWidth="0" connectionId="69"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2.xml><?xml version="1.0" encoding="utf-8"?>
<queryTable xmlns="http://schemas.openxmlformats.org/spreadsheetml/2006/main" name="(Default) XLS_TAB_39_2" headers="0" backgroundRefresh="0" growShrinkType="overwriteClear" adjustColumnWidth="0" connectionId="70"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3.xml><?xml version="1.0" encoding="utf-8"?>
<queryTable xmlns="http://schemas.openxmlformats.org/spreadsheetml/2006/main" name="(Default) XLS_TAB_39_3" headers="0" backgroundRefresh="0" growShrinkType="overwriteClear" adjustColumnWidth="0" connectionId="71"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74.xml><?xml version="1.0" encoding="utf-8"?>
<queryTable xmlns="http://schemas.openxmlformats.org/spreadsheetml/2006/main" name="(Default) XLS_TAB_40_1" headers="0" backgroundRefresh="0" growShrinkType="overwriteClear" adjustColumnWidth="0" connectionId="72"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5.xml><?xml version="1.0" encoding="utf-8"?>
<queryTable xmlns="http://schemas.openxmlformats.org/spreadsheetml/2006/main" name="(Default) XLS_TAB_40_2" headers="0" backgroundRefresh="0" growShrinkType="overwriteClear" adjustColumnWidth="0" connectionId="73"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6.xml><?xml version="1.0" encoding="utf-8"?>
<queryTable xmlns="http://schemas.openxmlformats.org/spreadsheetml/2006/main" name="(Default) XLS_TAB_40_3" headers="0" backgroundRefresh="0" growShrinkType="overwriteClear" adjustColumnWidth="0" connectionId="74" autoFormatId="16" applyNumberFormats="0" applyBorderFormats="0" applyFontFormats="0" applyPatternFormats="0" applyAlignmentFormats="0" applyWidthHeightFormats="0">
  <queryTableRefresh headersInLastRefresh="0" nextId="13">
    <queryTableFields count="12">
      <queryTableField id="1" name="AGE_LEVEL_LESS_20" tableColumnId="1"/>
      <queryTableField id="2" name="AGE_LEVEL_20_24" tableColumnId="2"/>
      <queryTableField id="3" name="AGE_LEVEL_25_29" tableColumnId="3"/>
      <queryTableField id="4" name="AGE_LEVEL_30_34" tableColumnId="4"/>
      <queryTableField id="5" name="AGE_LEVEL_35_39" tableColumnId="5"/>
      <queryTableField id="6" name="AGE_LEVEL_40_44" tableColumnId="6"/>
      <queryTableField id="7" name="AGE_LEVEL_45_49" tableColumnId="7"/>
      <queryTableField id="8" name="AGE_LEVEL_50_54" tableColumnId="8"/>
      <queryTableField id="9" name="AGE_LEVEL_55_59" tableColumnId="9"/>
      <queryTableField id="10" name="AGE_LEVEL_UP_60" tableColumnId="10"/>
      <queryTableField id="11" name="AGE_LEVEL_NOT_STATED" tableColumnId="11"/>
      <queryTableField id="12" name="TOTAL" tableColumnId="12"/>
    </queryTableFields>
  </queryTableRefresh>
</queryTable>
</file>

<file path=xl/queryTables/queryTable77.xml><?xml version="1.0" encoding="utf-8"?>
<queryTable xmlns="http://schemas.openxmlformats.org/spreadsheetml/2006/main" name="(Default) XLS_TAB_41_1" headers="0" backgroundRefresh="0" growShrinkType="overwriteClear" adjustColumnWidth="0" connectionId="75"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78.xml><?xml version="1.0" encoding="utf-8"?>
<queryTable xmlns="http://schemas.openxmlformats.org/spreadsheetml/2006/main" name="(Default) XLS_TAB_41_2" headers="0" backgroundRefresh="0" growShrinkType="overwriteClear" adjustColumnWidth="0" connectionId="76"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79.xml><?xml version="1.0" encoding="utf-8"?>
<queryTable xmlns="http://schemas.openxmlformats.org/spreadsheetml/2006/main" name="(Default) XLS_TAB_41_3" headers="0" backgroundRefresh="0" growShrinkType="overwriteClear" adjustColumnWidth="0" connectionId="77" autoFormatId="16" applyNumberFormats="0" applyBorderFormats="0" applyFontFormats="0" applyPatternFormats="0" applyAlignmentFormats="0" applyWidthHeightFormats="0">
  <queryTableRefresh headersInLastRefresh="0" nextId="10">
    <queryTableFields count="9">
      <queryTableField id="1" name="SON_CNT_0" tableColumnId="1"/>
      <queryTableField id="2" name="SON_CNT_1" tableColumnId="2"/>
      <queryTableField id="3" name="SON_CNT_2" tableColumnId="3"/>
      <queryTableField id="4" name="SON_CNT_3" tableColumnId="4"/>
      <queryTableField id="5" name="SON_CNT_4" tableColumnId="5"/>
      <queryTableField id="6" name="SON_CNT_5" tableColumnId="6"/>
      <queryTableField id="7" name="SON_CNT_UP_6" tableColumnId="7"/>
      <queryTableField id="8" name="SON_CNT_NOT_STATED" tableColumnId="8"/>
      <queryTableField id="9" name="TOTAL" tableColumnId="9"/>
    </queryTableFields>
  </queryTableRefresh>
</queryTable>
</file>

<file path=xl/queryTables/queryTable8.xml><?xml version="1.0" encoding="utf-8"?>
<queryTable xmlns="http://schemas.openxmlformats.org/spreadsheetml/2006/main" name="(Default) XLS_TAB_11_2" headers="0" backgroundRefresh="0" growShrinkType="overwriteClear" adjustColumnWidth="0" connectionId="4"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queryTables/queryTable80.xml><?xml version="1.0" encoding="utf-8"?>
<queryTable xmlns="http://schemas.openxmlformats.org/spreadsheetml/2006/main" name="(Default) XLS_TAB_42" headers="0" backgroundRefresh="0" growShrinkType="overwriteClear" adjustColumnWidth="0" connectionId="78" autoFormatId="16" applyNumberFormats="0" applyBorderFormats="0" applyFontFormats="0" applyPatternFormats="0" applyAlignmentFormats="0" applyWidthHeightFormats="0">
  <queryTableRefresh headersInLastRefresh="0" nextId="13">
    <queryTableFields count="8">
      <queryTableField id="1" name="CNT_0" tableColumnId="1"/>
      <queryTableField id="2" name="CNT_1" tableColumnId="2"/>
      <queryTableField id="3" name="CNT_2" tableColumnId="3"/>
      <queryTableField id="4" name="CNT_3" tableColumnId="4"/>
      <queryTableField id="5" name="CNT_4" tableColumnId="5"/>
      <queryTableField id="6" name="CNT_5" tableColumnId="6"/>
      <queryTableField id="7" name="CNT_6" tableColumnId="7"/>
      <queryTableField id="8" name="NOT_STATED" tableColumnId="8"/>
    </queryTableFields>
    <queryTableDeletedFields count="1">
      <deletedField name="TOTAL"/>
    </queryTableDeletedFields>
  </queryTableRefresh>
</queryTable>
</file>

<file path=xl/queryTables/queryTable81.xml><?xml version="1.0" encoding="utf-8"?>
<queryTable xmlns="http://schemas.openxmlformats.org/spreadsheetml/2006/main" name="(Default) XLS_TAB_43" headers="0" backgroundRefresh="0" growShrinkType="overwriteClear" adjustColumnWidth="0" connectionId="79" autoFormatId="16" applyNumberFormats="0" applyBorderFormats="0" applyFontFormats="0" applyPatternFormats="0" applyAlignmentFormats="0" applyWidthHeightFormats="0">
  <queryTableRefresh headersInLastRefresh="0" nextId="13">
    <queryTableFields count="12">
      <queryTableField id="1" name="MARRD_PRD_HUSBD_ARB" tableColumnId="1"/>
      <queryTableField id="2" name="CAT_1_SON_CNT" tableColumnId="2"/>
      <queryTableField id="3" name="CAT_1_CASE_CNT" tableColumnId="3"/>
      <queryTableField id="4" name="CAT_2_SON_CNT" tableColumnId="4"/>
      <queryTableField id="5" name="CAT_2_CASE_CNT" tableColumnId="5"/>
      <queryTableField id="6" name="CAT_3_SON_CNT" tableColumnId="6"/>
      <queryTableField id="7" name="CAT_3_CASE_CNT" tableColumnId="7"/>
      <queryTableField id="8" name="CAT_4_SON_CNT" tableColumnId="8"/>
      <queryTableField id="9" name="CAT_4_CASE_CNT" tableColumnId="9"/>
      <queryTableField id="10" name="CAT_TOT_SON_CNT" tableColumnId="10"/>
      <queryTableField id="11" name="CAT_TOT_CASE_CNT" tableColumnId="11"/>
      <queryTableField id="12" name="MARRD_PRD_HUSBD_ENG" tableColumnId="12"/>
    </queryTableFields>
  </queryTableRefresh>
</queryTable>
</file>

<file path=xl/queryTables/queryTable82.xml><?xml version="1.0" encoding="utf-8"?>
<queryTable xmlns="http://schemas.openxmlformats.org/spreadsheetml/2006/main" name="(Default) XLS_TAB_27_2" headers="0" backgroundRefresh="0" growShrinkType="overwriteClear" adjustColumnWidth="0" connectionId="41"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name="QATARI_SON_CNT" tableColumnId="2"/>
      <queryTableField id="3" name="NON_QATARI_SON_CNT" tableColumnId="3"/>
      <queryTableField id="4" name="TOTAL" tableColumnId="4"/>
      <queryTableField id="5" name="MARR_PRD_ENG" tableColumnId="5"/>
    </queryTableFields>
  </queryTableRefresh>
</queryTable>
</file>

<file path=xl/queryTables/queryTable83.xml><?xml version="1.0" encoding="utf-8"?>
<queryTable xmlns="http://schemas.openxmlformats.org/spreadsheetml/2006/main" name="(Default) XLS_TAB_48" headers="0" backgroundRefresh="0" growShrinkType="overwriteClear" adjustColumnWidth="0" connectionId="80" autoFormatId="16" applyNumberFormats="0" applyBorderFormats="0" applyFontFormats="0" applyPatternFormats="0" applyAlignmentFormats="0" applyWidthHeightFormats="0">
  <queryTableRefresh headersInLastRefresh="0" nextId="6">
    <queryTableFields count="5">
      <queryTableField id="1" name="MARR_PRD_ARB" tableColumnId="1"/>
      <queryTableField id="2" dataBound="0" tableColumnId="2"/>
      <queryTableField id="3" dataBound="0" tableColumnId="3"/>
      <queryTableField id="4" dataBound="0" tableColumnId="4"/>
      <queryTableField id="5" name="MARR_PRD_ENG" tableColumnId="5"/>
    </queryTableFields>
    <queryTableDeletedFields count="3">
      <deletedField name="QATARI_SON_CNT"/>
      <deletedField name="NON_QATARI_SON_CNT"/>
      <deletedField name="TOTAL"/>
    </queryTableDeletedFields>
  </queryTableRefresh>
</queryTable>
</file>

<file path=xl/queryTables/queryTable9.xml><?xml version="1.0" encoding="utf-8"?>
<queryTable xmlns="http://schemas.openxmlformats.org/spreadsheetml/2006/main" name="(Default) XLS_TAB_11_3" headers="0" backgroundRefresh="0" growShrinkType="overwriteClear" adjustColumnWidth="0" connectionId="5" autoFormatId="16" applyNumberFormats="0" applyBorderFormats="0" applyFontFormats="0" applyPatternFormats="0" applyAlignmentFormats="0" applyWidthHeightFormats="0">
  <queryTableRefresh headersInLastRefresh="0" nextId="15">
    <queryTableFields count="14">
      <queryTableField id="1" name="AGE_LEVEL_HUSBD_ARB" tableColumnId="1"/>
      <queryTableField id="2" name="AGE_LEVEL_LESS_20" tableColumnId="2"/>
      <queryTableField id="3" name="AGE_LEVEL_20_24" tableColumnId="3"/>
      <queryTableField id="4" name="AGE_LEVEL_25_29" tableColumnId="4"/>
      <queryTableField id="5" name="AGE_LEVEL_30_34" tableColumnId="5"/>
      <queryTableField id="6" name="AGE_LEVEL_35_39" tableColumnId="6"/>
      <queryTableField id="7" name="AGE_LEVEL_40_44" tableColumnId="7"/>
      <queryTableField id="8" name="AGE_LEVEL_45_49" tableColumnId="8"/>
      <queryTableField id="9" name="AGE_LEVEL_50_54" tableColumnId="9"/>
      <queryTableField id="10" name="AGE_LEVEL_55_59" tableColumnId="10"/>
      <queryTableField id="11" name="AGE_LEVEL_UP_60" tableColumnId="11"/>
      <queryTableField id="12" name="AGE_LEVEL_NOT_STATED" tableColumnId="12"/>
      <queryTableField id="13" name="TOTAL" tableColumnId="13"/>
      <queryTableField id="14" name="AGE_LEVEL_HUSBD_ENG"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0.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11.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12.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13.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4.xml"/></Relationships>
</file>

<file path=xl/tables/_rels/table15.xml.rels><?xml version="1.0" encoding="UTF-8" standalone="yes"?>
<Relationships xmlns="http://schemas.openxmlformats.org/package/2006/relationships"><Relationship Id="rId1" Type="http://schemas.openxmlformats.org/officeDocument/2006/relationships/queryTable" Target="../queryTables/queryTable15.xml"/></Relationships>
</file>

<file path=xl/tables/_rels/table16.xml.rels><?xml version="1.0" encoding="UTF-8" standalone="yes"?>
<Relationships xmlns="http://schemas.openxmlformats.org/package/2006/relationships"><Relationship Id="rId1" Type="http://schemas.openxmlformats.org/officeDocument/2006/relationships/queryTable" Target="../queryTables/queryTable16.xml"/></Relationships>
</file>

<file path=xl/tables/_rels/table17.xml.rels><?xml version="1.0" encoding="UTF-8" standalone="yes"?>
<Relationships xmlns="http://schemas.openxmlformats.org/package/2006/relationships"><Relationship Id="rId1" Type="http://schemas.openxmlformats.org/officeDocument/2006/relationships/queryTable" Target="../queryTables/queryTable17.xml"/></Relationships>
</file>

<file path=xl/tables/_rels/table18.xml.rels><?xml version="1.0" encoding="UTF-8" standalone="yes"?>
<Relationships xmlns="http://schemas.openxmlformats.org/package/2006/relationships"><Relationship Id="rId1" Type="http://schemas.openxmlformats.org/officeDocument/2006/relationships/queryTable" Target="../queryTables/queryTable18.xml"/></Relationships>
</file>

<file path=xl/tables/_rels/table19.xml.rels><?xml version="1.0" encoding="UTF-8" standalone="yes"?>
<Relationships xmlns="http://schemas.openxmlformats.org/package/2006/relationships"><Relationship Id="rId1" Type="http://schemas.openxmlformats.org/officeDocument/2006/relationships/queryTable" Target="../queryTables/queryTable19.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20.xml.rels><?xml version="1.0" encoding="UTF-8" standalone="yes"?>
<Relationships xmlns="http://schemas.openxmlformats.org/package/2006/relationships"><Relationship Id="rId1" Type="http://schemas.openxmlformats.org/officeDocument/2006/relationships/queryTable" Target="../queryTables/queryTable20.xml"/></Relationships>
</file>

<file path=xl/tables/_rels/table21.xml.rels><?xml version="1.0" encoding="UTF-8" standalone="yes"?>
<Relationships xmlns="http://schemas.openxmlformats.org/package/2006/relationships"><Relationship Id="rId1" Type="http://schemas.openxmlformats.org/officeDocument/2006/relationships/queryTable" Target="../queryTables/queryTable21.xml"/></Relationships>
</file>

<file path=xl/tables/_rels/table22.xml.rels><?xml version="1.0" encoding="UTF-8" standalone="yes"?>
<Relationships xmlns="http://schemas.openxmlformats.org/package/2006/relationships"><Relationship Id="rId1" Type="http://schemas.openxmlformats.org/officeDocument/2006/relationships/queryTable" Target="../queryTables/queryTable22.xml"/></Relationships>
</file>

<file path=xl/tables/_rels/table23.xml.rels><?xml version="1.0" encoding="UTF-8" standalone="yes"?>
<Relationships xmlns="http://schemas.openxmlformats.org/package/2006/relationships"><Relationship Id="rId1" Type="http://schemas.openxmlformats.org/officeDocument/2006/relationships/queryTable" Target="../queryTables/queryTable23.xml"/></Relationships>
</file>

<file path=xl/tables/_rels/table24.xml.rels><?xml version="1.0" encoding="UTF-8" standalone="yes"?>
<Relationships xmlns="http://schemas.openxmlformats.org/package/2006/relationships"><Relationship Id="rId1" Type="http://schemas.openxmlformats.org/officeDocument/2006/relationships/queryTable" Target="../queryTables/queryTable24.xml"/></Relationships>
</file>

<file path=xl/tables/_rels/table25.xml.rels><?xml version="1.0" encoding="UTF-8" standalone="yes"?>
<Relationships xmlns="http://schemas.openxmlformats.org/package/2006/relationships"><Relationship Id="rId1" Type="http://schemas.openxmlformats.org/officeDocument/2006/relationships/queryTable" Target="../queryTables/queryTable25.xml"/></Relationships>
</file>

<file path=xl/tables/_rels/table26.xml.rels><?xml version="1.0" encoding="UTF-8" standalone="yes"?>
<Relationships xmlns="http://schemas.openxmlformats.org/package/2006/relationships"><Relationship Id="rId1" Type="http://schemas.openxmlformats.org/officeDocument/2006/relationships/queryTable" Target="../queryTables/queryTable26.xml"/></Relationships>
</file>

<file path=xl/tables/_rels/table27.xml.rels><?xml version="1.0" encoding="UTF-8" standalone="yes"?>
<Relationships xmlns="http://schemas.openxmlformats.org/package/2006/relationships"><Relationship Id="rId1" Type="http://schemas.openxmlformats.org/officeDocument/2006/relationships/queryTable" Target="../queryTables/queryTable27.xml"/></Relationships>
</file>

<file path=xl/tables/_rels/table28.xml.rels><?xml version="1.0" encoding="UTF-8" standalone="yes"?>
<Relationships xmlns="http://schemas.openxmlformats.org/package/2006/relationships"><Relationship Id="rId1" Type="http://schemas.openxmlformats.org/officeDocument/2006/relationships/queryTable" Target="../queryTables/queryTable28.xml"/></Relationships>
</file>

<file path=xl/tables/_rels/table29.xml.rels><?xml version="1.0" encoding="UTF-8" standalone="yes"?>
<Relationships xmlns="http://schemas.openxmlformats.org/package/2006/relationships"><Relationship Id="rId1" Type="http://schemas.openxmlformats.org/officeDocument/2006/relationships/queryTable" Target="../queryTables/queryTable29.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30.xml.rels><?xml version="1.0" encoding="UTF-8" standalone="yes"?>
<Relationships xmlns="http://schemas.openxmlformats.org/package/2006/relationships"><Relationship Id="rId1" Type="http://schemas.openxmlformats.org/officeDocument/2006/relationships/queryTable" Target="../queryTables/queryTable30.xml"/></Relationships>
</file>

<file path=xl/tables/_rels/table31.xml.rels><?xml version="1.0" encoding="UTF-8" standalone="yes"?>
<Relationships xmlns="http://schemas.openxmlformats.org/package/2006/relationships"><Relationship Id="rId1" Type="http://schemas.openxmlformats.org/officeDocument/2006/relationships/queryTable" Target="../queryTables/queryTable31.xml"/></Relationships>
</file>

<file path=xl/tables/_rels/table32.xml.rels><?xml version="1.0" encoding="UTF-8" standalone="yes"?>
<Relationships xmlns="http://schemas.openxmlformats.org/package/2006/relationships"><Relationship Id="rId1" Type="http://schemas.openxmlformats.org/officeDocument/2006/relationships/queryTable" Target="../queryTables/queryTable32.xml"/></Relationships>
</file>

<file path=xl/tables/_rels/table33.xml.rels><?xml version="1.0" encoding="UTF-8" standalone="yes"?>
<Relationships xmlns="http://schemas.openxmlformats.org/package/2006/relationships"><Relationship Id="rId1" Type="http://schemas.openxmlformats.org/officeDocument/2006/relationships/queryTable" Target="../queryTables/queryTable33.xml"/></Relationships>
</file>

<file path=xl/tables/_rels/table34.xml.rels><?xml version="1.0" encoding="UTF-8" standalone="yes"?>
<Relationships xmlns="http://schemas.openxmlformats.org/package/2006/relationships"><Relationship Id="rId1" Type="http://schemas.openxmlformats.org/officeDocument/2006/relationships/queryTable" Target="../queryTables/queryTable34.xml"/></Relationships>
</file>

<file path=xl/tables/_rels/table35.xml.rels><?xml version="1.0" encoding="UTF-8" standalone="yes"?>
<Relationships xmlns="http://schemas.openxmlformats.org/package/2006/relationships"><Relationship Id="rId1" Type="http://schemas.openxmlformats.org/officeDocument/2006/relationships/queryTable" Target="../queryTables/queryTable35.xml"/></Relationships>
</file>

<file path=xl/tables/_rels/table36.xml.rels><?xml version="1.0" encoding="UTF-8" standalone="yes"?>
<Relationships xmlns="http://schemas.openxmlformats.org/package/2006/relationships"><Relationship Id="rId1" Type="http://schemas.openxmlformats.org/officeDocument/2006/relationships/queryTable" Target="../queryTables/queryTable36.xml"/></Relationships>
</file>

<file path=xl/tables/_rels/table37.xml.rels><?xml version="1.0" encoding="UTF-8" standalone="yes"?>
<Relationships xmlns="http://schemas.openxmlformats.org/package/2006/relationships"><Relationship Id="rId1" Type="http://schemas.openxmlformats.org/officeDocument/2006/relationships/queryTable" Target="../queryTables/queryTable37.xml"/></Relationships>
</file>

<file path=xl/tables/_rels/table38.xml.rels><?xml version="1.0" encoding="UTF-8" standalone="yes"?>
<Relationships xmlns="http://schemas.openxmlformats.org/package/2006/relationships"><Relationship Id="rId1" Type="http://schemas.openxmlformats.org/officeDocument/2006/relationships/queryTable" Target="../queryTables/queryTable38.xml"/></Relationships>
</file>

<file path=xl/tables/_rels/table39.xml.rels><?xml version="1.0" encoding="UTF-8" standalone="yes"?>
<Relationships xmlns="http://schemas.openxmlformats.org/package/2006/relationships"><Relationship Id="rId1" Type="http://schemas.openxmlformats.org/officeDocument/2006/relationships/queryTable" Target="../queryTables/queryTable39.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40.xml.rels><?xml version="1.0" encoding="UTF-8" standalone="yes"?>
<Relationships xmlns="http://schemas.openxmlformats.org/package/2006/relationships"><Relationship Id="rId1" Type="http://schemas.openxmlformats.org/officeDocument/2006/relationships/queryTable" Target="../queryTables/queryTable40.xml"/></Relationships>
</file>

<file path=xl/tables/_rels/table41.xml.rels><?xml version="1.0" encoding="UTF-8" standalone="yes"?>
<Relationships xmlns="http://schemas.openxmlformats.org/package/2006/relationships"><Relationship Id="rId1" Type="http://schemas.openxmlformats.org/officeDocument/2006/relationships/queryTable" Target="../queryTables/queryTable41.xml"/></Relationships>
</file>

<file path=xl/tables/_rels/table42.xml.rels><?xml version="1.0" encoding="UTF-8" standalone="yes"?>
<Relationships xmlns="http://schemas.openxmlformats.org/package/2006/relationships"><Relationship Id="rId1" Type="http://schemas.openxmlformats.org/officeDocument/2006/relationships/queryTable" Target="../queryTables/queryTable42.xml"/></Relationships>
</file>

<file path=xl/tables/_rels/table43.xml.rels><?xml version="1.0" encoding="UTF-8" standalone="yes"?>
<Relationships xmlns="http://schemas.openxmlformats.org/package/2006/relationships"><Relationship Id="rId1" Type="http://schemas.openxmlformats.org/officeDocument/2006/relationships/queryTable" Target="../queryTables/queryTable43.xml"/></Relationships>
</file>

<file path=xl/tables/_rels/table44.xml.rels><?xml version="1.0" encoding="UTF-8" standalone="yes"?>
<Relationships xmlns="http://schemas.openxmlformats.org/package/2006/relationships"><Relationship Id="rId1" Type="http://schemas.openxmlformats.org/officeDocument/2006/relationships/queryTable" Target="../queryTables/queryTable44.xml"/></Relationships>
</file>

<file path=xl/tables/_rels/table45.xml.rels><?xml version="1.0" encoding="UTF-8" standalone="yes"?>
<Relationships xmlns="http://schemas.openxmlformats.org/package/2006/relationships"><Relationship Id="rId1" Type="http://schemas.openxmlformats.org/officeDocument/2006/relationships/queryTable" Target="../queryTables/queryTable45.xml"/></Relationships>
</file>

<file path=xl/tables/_rels/table46.xml.rels><?xml version="1.0" encoding="UTF-8" standalone="yes"?>
<Relationships xmlns="http://schemas.openxmlformats.org/package/2006/relationships"><Relationship Id="rId1" Type="http://schemas.openxmlformats.org/officeDocument/2006/relationships/queryTable" Target="../queryTables/queryTable46.xml"/></Relationships>
</file>

<file path=xl/tables/_rels/table47.xml.rels><?xml version="1.0" encoding="UTF-8" standalone="yes"?>
<Relationships xmlns="http://schemas.openxmlformats.org/package/2006/relationships"><Relationship Id="rId1" Type="http://schemas.openxmlformats.org/officeDocument/2006/relationships/queryTable" Target="../queryTables/queryTable47.xml"/></Relationships>
</file>

<file path=xl/tables/_rels/table48.xml.rels><?xml version="1.0" encoding="UTF-8" standalone="yes"?>
<Relationships xmlns="http://schemas.openxmlformats.org/package/2006/relationships"><Relationship Id="rId1" Type="http://schemas.openxmlformats.org/officeDocument/2006/relationships/queryTable" Target="../queryTables/queryTable48.xml"/></Relationships>
</file>

<file path=xl/tables/_rels/table49.xml.rels><?xml version="1.0" encoding="UTF-8" standalone="yes"?>
<Relationships xmlns="http://schemas.openxmlformats.org/package/2006/relationships"><Relationship Id="rId1" Type="http://schemas.openxmlformats.org/officeDocument/2006/relationships/queryTable" Target="../queryTables/queryTable49.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50.xml.rels><?xml version="1.0" encoding="UTF-8" standalone="yes"?>
<Relationships xmlns="http://schemas.openxmlformats.org/package/2006/relationships"><Relationship Id="rId1" Type="http://schemas.openxmlformats.org/officeDocument/2006/relationships/queryTable" Target="../queryTables/queryTable50.xml"/></Relationships>
</file>

<file path=xl/tables/_rels/table51.xml.rels><?xml version="1.0" encoding="UTF-8" standalone="yes"?>
<Relationships xmlns="http://schemas.openxmlformats.org/package/2006/relationships"><Relationship Id="rId1" Type="http://schemas.openxmlformats.org/officeDocument/2006/relationships/queryTable" Target="../queryTables/queryTable51.xml"/></Relationships>
</file>

<file path=xl/tables/_rels/table52.xml.rels><?xml version="1.0" encoding="UTF-8" standalone="yes"?>
<Relationships xmlns="http://schemas.openxmlformats.org/package/2006/relationships"><Relationship Id="rId1" Type="http://schemas.openxmlformats.org/officeDocument/2006/relationships/queryTable" Target="../queryTables/queryTable52.xml"/></Relationships>
</file>

<file path=xl/tables/_rels/table53.xml.rels><?xml version="1.0" encoding="UTF-8" standalone="yes"?>
<Relationships xmlns="http://schemas.openxmlformats.org/package/2006/relationships"><Relationship Id="rId1" Type="http://schemas.openxmlformats.org/officeDocument/2006/relationships/queryTable" Target="../queryTables/queryTable53.xml"/></Relationships>
</file>

<file path=xl/tables/_rels/table54.xml.rels><?xml version="1.0" encoding="UTF-8" standalone="yes"?>
<Relationships xmlns="http://schemas.openxmlformats.org/package/2006/relationships"><Relationship Id="rId1" Type="http://schemas.openxmlformats.org/officeDocument/2006/relationships/queryTable" Target="../queryTables/queryTable54.xml"/></Relationships>
</file>

<file path=xl/tables/_rels/table55.xml.rels><?xml version="1.0" encoding="UTF-8" standalone="yes"?>
<Relationships xmlns="http://schemas.openxmlformats.org/package/2006/relationships"><Relationship Id="rId1" Type="http://schemas.openxmlformats.org/officeDocument/2006/relationships/queryTable" Target="../queryTables/queryTable55.xml"/></Relationships>
</file>

<file path=xl/tables/_rels/table56.xml.rels><?xml version="1.0" encoding="UTF-8" standalone="yes"?>
<Relationships xmlns="http://schemas.openxmlformats.org/package/2006/relationships"><Relationship Id="rId1" Type="http://schemas.openxmlformats.org/officeDocument/2006/relationships/queryTable" Target="../queryTables/queryTable56.xml"/></Relationships>
</file>

<file path=xl/tables/_rels/table57.xml.rels><?xml version="1.0" encoding="UTF-8" standalone="yes"?>
<Relationships xmlns="http://schemas.openxmlformats.org/package/2006/relationships"><Relationship Id="rId1" Type="http://schemas.openxmlformats.org/officeDocument/2006/relationships/queryTable" Target="../queryTables/queryTable57.xml"/></Relationships>
</file>

<file path=xl/tables/_rels/table58.xml.rels><?xml version="1.0" encoding="UTF-8" standalone="yes"?>
<Relationships xmlns="http://schemas.openxmlformats.org/package/2006/relationships"><Relationship Id="rId1" Type="http://schemas.openxmlformats.org/officeDocument/2006/relationships/queryTable" Target="../queryTables/queryTable58.xml"/></Relationships>
</file>

<file path=xl/tables/_rels/table59.xml.rels><?xml version="1.0" encoding="UTF-8" standalone="yes"?>
<Relationships xmlns="http://schemas.openxmlformats.org/package/2006/relationships"><Relationship Id="rId1" Type="http://schemas.openxmlformats.org/officeDocument/2006/relationships/queryTable" Target="../queryTables/queryTable59.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60.xml.rels><?xml version="1.0" encoding="UTF-8" standalone="yes"?>
<Relationships xmlns="http://schemas.openxmlformats.org/package/2006/relationships"><Relationship Id="rId1" Type="http://schemas.openxmlformats.org/officeDocument/2006/relationships/queryTable" Target="../queryTables/queryTable60.xml"/></Relationships>
</file>

<file path=xl/tables/_rels/table61.xml.rels><?xml version="1.0" encoding="UTF-8" standalone="yes"?>
<Relationships xmlns="http://schemas.openxmlformats.org/package/2006/relationships"><Relationship Id="rId1" Type="http://schemas.openxmlformats.org/officeDocument/2006/relationships/queryTable" Target="../queryTables/queryTable61.xml"/></Relationships>
</file>

<file path=xl/tables/_rels/table62.xml.rels><?xml version="1.0" encoding="UTF-8" standalone="yes"?>
<Relationships xmlns="http://schemas.openxmlformats.org/package/2006/relationships"><Relationship Id="rId1" Type="http://schemas.openxmlformats.org/officeDocument/2006/relationships/queryTable" Target="../queryTables/queryTable62.xml"/></Relationships>
</file>

<file path=xl/tables/_rels/table63.xml.rels><?xml version="1.0" encoding="UTF-8" standalone="yes"?>
<Relationships xmlns="http://schemas.openxmlformats.org/package/2006/relationships"><Relationship Id="rId1" Type="http://schemas.openxmlformats.org/officeDocument/2006/relationships/queryTable" Target="../queryTables/queryTable63.xml"/></Relationships>
</file>

<file path=xl/tables/_rels/table64.xml.rels><?xml version="1.0" encoding="UTF-8" standalone="yes"?>
<Relationships xmlns="http://schemas.openxmlformats.org/package/2006/relationships"><Relationship Id="rId1" Type="http://schemas.openxmlformats.org/officeDocument/2006/relationships/queryTable" Target="../queryTables/queryTable64.xml"/></Relationships>
</file>

<file path=xl/tables/_rels/table65.xml.rels><?xml version="1.0" encoding="UTF-8" standalone="yes"?>
<Relationships xmlns="http://schemas.openxmlformats.org/package/2006/relationships"><Relationship Id="rId1" Type="http://schemas.openxmlformats.org/officeDocument/2006/relationships/queryTable" Target="../queryTables/queryTable65.xml"/></Relationships>
</file>

<file path=xl/tables/_rels/table66.xml.rels><?xml version="1.0" encoding="UTF-8" standalone="yes"?>
<Relationships xmlns="http://schemas.openxmlformats.org/package/2006/relationships"><Relationship Id="rId1" Type="http://schemas.openxmlformats.org/officeDocument/2006/relationships/queryTable" Target="../queryTables/queryTable66.xml"/></Relationships>
</file>

<file path=xl/tables/_rels/table67.xml.rels><?xml version="1.0" encoding="UTF-8" standalone="yes"?>
<Relationships xmlns="http://schemas.openxmlformats.org/package/2006/relationships"><Relationship Id="rId1" Type="http://schemas.openxmlformats.org/officeDocument/2006/relationships/queryTable" Target="../queryTables/queryTable67.xml"/></Relationships>
</file>

<file path=xl/tables/_rels/table68.xml.rels><?xml version="1.0" encoding="UTF-8" standalone="yes"?>
<Relationships xmlns="http://schemas.openxmlformats.org/package/2006/relationships"><Relationship Id="rId1" Type="http://schemas.openxmlformats.org/officeDocument/2006/relationships/queryTable" Target="../queryTables/queryTable68.xml"/></Relationships>
</file>

<file path=xl/tables/_rels/table69.xml.rels><?xml version="1.0" encoding="UTF-8" standalone="yes"?>
<Relationships xmlns="http://schemas.openxmlformats.org/package/2006/relationships"><Relationship Id="rId1" Type="http://schemas.openxmlformats.org/officeDocument/2006/relationships/queryTable" Target="../queryTables/queryTable69.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70.xml.rels><?xml version="1.0" encoding="UTF-8" standalone="yes"?>
<Relationships xmlns="http://schemas.openxmlformats.org/package/2006/relationships"><Relationship Id="rId1" Type="http://schemas.openxmlformats.org/officeDocument/2006/relationships/queryTable" Target="../queryTables/queryTable70.xml"/></Relationships>
</file>

<file path=xl/tables/_rels/table71.xml.rels><?xml version="1.0" encoding="UTF-8" standalone="yes"?>
<Relationships xmlns="http://schemas.openxmlformats.org/package/2006/relationships"><Relationship Id="rId1" Type="http://schemas.openxmlformats.org/officeDocument/2006/relationships/queryTable" Target="../queryTables/queryTable71.xml"/></Relationships>
</file>

<file path=xl/tables/_rels/table72.xml.rels><?xml version="1.0" encoding="UTF-8" standalone="yes"?>
<Relationships xmlns="http://schemas.openxmlformats.org/package/2006/relationships"><Relationship Id="rId1" Type="http://schemas.openxmlformats.org/officeDocument/2006/relationships/queryTable" Target="../queryTables/queryTable72.xml"/></Relationships>
</file>

<file path=xl/tables/_rels/table73.xml.rels><?xml version="1.0" encoding="UTF-8" standalone="yes"?>
<Relationships xmlns="http://schemas.openxmlformats.org/package/2006/relationships"><Relationship Id="rId1" Type="http://schemas.openxmlformats.org/officeDocument/2006/relationships/queryTable" Target="../queryTables/queryTable73.xml"/></Relationships>
</file>

<file path=xl/tables/_rels/table74.xml.rels><?xml version="1.0" encoding="UTF-8" standalone="yes"?>
<Relationships xmlns="http://schemas.openxmlformats.org/package/2006/relationships"><Relationship Id="rId1" Type="http://schemas.openxmlformats.org/officeDocument/2006/relationships/queryTable" Target="../queryTables/queryTable74.xml"/></Relationships>
</file>

<file path=xl/tables/_rels/table75.xml.rels><?xml version="1.0" encoding="UTF-8" standalone="yes"?>
<Relationships xmlns="http://schemas.openxmlformats.org/package/2006/relationships"><Relationship Id="rId1" Type="http://schemas.openxmlformats.org/officeDocument/2006/relationships/queryTable" Target="../queryTables/queryTable75.xml"/></Relationships>
</file>

<file path=xl/tables/_rels/table76.xml.rels><?xml version="1.0" encoding="UTF-8" standalone="yes"?>
<Relationships xmlns="http://schemas.openxmlformats.org/package/2006/relationships"><Relationship Id="rId1" Type="http://schemas.openxmlformats.org/officeDocument/2006/relationships/queryTable" Target="../queryTables/queryTable76.xml"/></Relationships>
</file>

<file path=xl/tables/_rels/table77.xml.rels><?xml version="1.0" encoding="UTF-8" standalone="yes"?>
<Relationships xmlns="http://schemas.openxmlformats.org/package/2006/relationships"><Relationship Id="rId1" Type="http://schemas.openxmlformats.org/officeDocument/2006/relationships/queryTable" Target="../queryTables/queryTable77.xml"/></Relationships>
</file>

<file path=xl/tables/_rels/table78.xml.rels><?xml version="1.0" encoding="UTF-8" standalone="yes"?>
<Relationships xmlns="http://schemas.openxmlformats.org/package/2006/relationships"><Relationship Id="rId1" Type="http://schemas.openxmlformats.org/officeDocument/2006/relationships/queryTable" Target="../queryTables/queryTable78.xml"/></Relationships>
</file>

<file path=xl/tables/_rels/table79.xml.rels><?xml version="1.0" encoding="UTF-8" standalone="yes"?>
<Relationships xmlns="http://schemas.openxmlformats.org/package/2006/relationships"><Relationship Id="rId1" Type="http://schemas.openxmlformats.org/officeDocument/2006/relationships/queryTable" Target="../queryTables/queryTable79.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80.xml.rels><?xml version="1.0" encoding="UTF-8" standalone="yes"?>
<Relationships xmlns="http://schemas.openxmlformats.org/package/2006/relationships"><Relationship Id="rId1" Type="http://schemas.openxmlformats.org/officeDocument/2006/relationships/queryTable" Target="../queryTables/queryTable80.xml"/></Relationships>
</file>

<file path=xl/tables/_rels/table81.xml.rels><?xml version="1.0" encoding="UTF-8" standalone="yes"?>
<Relationships xmlns="http://schemas.openxmlformats.org/package/2006/relationships"><Relationship Id="rId1" Type="http://schemas.openxmlformats.org/officeDocument/2006/relationships/queryTable" Target="../queryTables/queryTable81.xml"/></Relationships>
</file>

<file path=xl/tables/_rels/table82.xml.rels><?xml version="1.0" encoding="UTF-8" standalone="yes"?>
<Relationships xmlns="http://schemas.openxmlformats.org/package/2006/relationships"><Relationship Id="rId1" Type="http://schemas.openxmlformats.org/officeDocument/2006/relationships/queryTable" Target="../queryTables/queryTable82.xml"/></Relationships>
</file>

<file path=xl/tables/_rels/table83.xml.rels><?xml version="1.0" encoding="UTF-8" standalone="yes"?>
<Relationships xmlns="http://schemas.openxmlformats.org/package/2006/relationships"><Relationship Id="rId1" Type="http://schemas.openxmlformats.org/officeDocument/2006/relationships/queryTable" Target="../queryTables/queryTable83.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table1.xml><?xml version="1.0" encoding="utf-8"?>
<table xmlns="http://schemas.openxmlformats.org/spreadsheetml/2006/main" id="4" name="Table_Default__XLS_TAB_1" displayName="Table_Default__XLS_TAB_1" ref="A10:N19" tableType="queryTable" headerRowCount="0" totalsRowShown="0" headerRowDxfId="2254" dataDxfId="2252" headerRowBorderDxfId="2253" tableBorderDxfId="2251" totalsRowBorderDxfId="2250">
  <tableColumns count="14">
    <tableColumn id="253" uniqueName="253" name="YEAR_AR" queryTableFieldId="1" dataDxfId="2249" totalsRowDxfId="2248" dataCellStyle="Normal 2"/>
    <tableColumn id="254" uniqueName="254" name="M_QTRI_COUNT" queryTableFieldId="2" dataDxfId="2247" totalsRowDxfId="2246" dataCellStyle="Normal 2"/>
    <tableColumn id="255" uniqueName="255" name="M_QTRI_PSG" queryTableFieldId="3" dataDxfId="2245" totalsRowDxfId="2244" dataCellStyle="Normal 2"/>
    <tableColumn id="256" uniqueName="256" name="M_NQTRI_COUNT" queryTableFieldId="4" dataDxfId="2243" totalsRowDxfId="2242" dataCellStyle="Normal 2"/>
    <tableColumn id="257" uniqueName="257" name="M_NQTRI_PSG" queryTableFieldId="5" dataDxfId="2241" totalsRowDxfId="2240" dataCellStyle="Normal 2"/>
    <tableColumn id="258" uniqueName="258" name="M_QTRI_TOT_COUNT" queryTableFieldId="6" dataDxfId="2239" totalsRowDxfId="2238" dataCellStyle="Normal 2"/>
    <tableColumn id="259" uniqueName="259" name="M_QTRI_TOT_PSG" queryTableFieldId="7" dataDxfId="2237" totalsRowDxfId="2236" dataCellStyle="Normal 2"/>
    <tableColumn id="260" uniqueName="260" name="D_QTRI_COUNT" queryTableFieldId="8" dataDxfId="2235" totalsRowDxfId="2234" dataCellStyle="Normal 2"/>
    <tableColumn id="261" uniqueName="261" name="D_QTRI_PSG" queryTableFieldId="9" dataDxfId="2233" totalsRowDxfId="2232" dataCellStyle="Normal 2"/>
    <tableColumn id="262" uniqueName="262" name="D_NQTRI_COUNT" queryTableFieldId="10" dataDxfId="2231" totalsRowDxfId="2230" dataCellStyle="Normal 2"/>
    <tableColumn id="263" uniqueName="263" name="D_NQTRI_PSG" queryTableFieldId="11" dataDxfId="2229" totalsRowDxfId="2228" dataCellStyle="Normal 2"/>
    <tableColumn id="264" uniqueName="264" name="D_QTRI_TOT_COUNT" queryTableFieldId="12" dataDxfId="2227" totalsRowDxfId="2226" dataCellStyle="Normal 2"/>
    <tableColumn id="265" uniqueName="265" name="D_QTRI_TOT_PSG" queryTableFieldId="13" dataDxfId="2225" totalsRowDxfId="2224" dataCellStyle="Normal 2"/>
    <tableColumn id="266" uniqueName="266" name="YEAR_ENG" queryTableFieldId="14" dataDxfId="2223" totalsRowDxfId="2222" dataCellStyle="Normal 2"/>
  </tableColumns>
  <tableStyleInfo name="VITAL" showFirstColumn="0" showLastColumn="0" showRowStripes="1" showColumnStripes="0"/>
</table>
</file>

<file path=xl/tables/table10.xml><?xml version="1.0" encoding="utf-8"?>
<table xmlns="http://schemas.openxmlformats.org/spreadsheetml/2006/main" id="10" name="Table_Default__XLS_TAB_12_1" displayName="Table_Default__XLS_TAB_12_1" ref="A9:H23" tableType="queryTable" headerRowCount="0" totalsRowCount="1" headerRowDxfId="1910" dataDxfId="1909" totalsRowDxfId="1908" totalsRowBorderDxfId="1907">
  <tableColumns count="8">
    <tableColumn id="1" uniqueName="1" name="AGE_LEVEL_HUSBD_ARB" totalsRowLabel="المجموع" queryTableFieldId="1" headerRowDxfId="1906" dataDxfId="1905" totalsRowDxfId="1904" headerRowCellStyle="Normal 2" dataCellStyle="Normal 2"/>
    <tableColumn id="2" uniqueName="2" name="NO_WIFE_0" totalsRowFunction="sum" queryTableFieldId="2" headerRowDxfId="1903" dataDxfId="1902" totalsRowDxfId="1901" headerRowCellStyle="Normal 2" dataCellStyle="Normal 2"/>
    <tableColumn id="3" uniqueName="3" name="NO_WIFE_1" totalsRowFunction="sum" queryTableFieldId="3" headerRowDxfId="1900" dataDxfId="1899" totalsRowDxfId="1898" headerRowCellStyle="Normal 2" dataCellStyle="Normal 2"/>
    <tableColumn id="4" uniqueName="4" name="NO_WIFE_2" totalsRowFunction="sum" queryTableFieldId="4" headerRowDxfId="1897" dataDxfId="1896" totalsRowDxfId="1895" headerRowCellStyle="Normal 2" dataCellStyle="Normal 2"/>
    <tableColumn id="5" uniqueName="5" name="NO_WIFE_3" totalsRowFunction="sum" queryTableFieldId="5" headerRowDxfId="1894" dataDxfId="1893" totalsRowDxfId="1892" headerRowCellStyle="Normal 2" dataCellStyle="Normal 2"/>
    <tableColumn id="6" uniqueName="6" name="NO_WIFE_NOT_STATED" totalsRowFunction="sum" queryTableFieldId="6" headerRowDxfId="1891" dataDxfId="1890" totalsRowDxfId="1889" headerRowCellStyle="Normal 2" dataCellStyle="Normal 2"/>
    <tableColumn id="7" uniqueName="7" name="TOTAL" totalsRowFunction="sum" queryTableFieldId="7" headerRowDxfId="1888" dataDxfId="1887" totalsRowDxfId="1886" headerRowCellStyle="Normal 2" dataCellStyle="Normal 2"/>
    <tableColumn id="8" uniqueName="8" name="AGE_LEVEL_HUSBD_ENG" totalsRowLabel="Total" queryTableFieldId="8" headerRowDxfId="1885" dataDxfId="1884" totalsRowDxfId="1883" headerRowCellStyle="Normal 2" dataCellStyle="Normal 2"/>
  </tableColumns>
  <tableStyleInfo name="VITAL" showFirstColumn="0" showLastColumn="0" showRowStripes="1" showColumnStripes="0"/>
</table>
</file>

<file path=xl/tables/table11.xml><?xml version="1.0" encoding="utf-8"?>
<table xmlns="http://schemas.openxmlformats.org/spreadsheetml/2006/main" id="11" name="Table_Default__XLS_TAB_12_2" displayName="Table_Default__XLS_TAB_12_2" ref="A9:H23" tableType="queryTable" headerRowCount="0" totalsRowCount="1" dataDxfId="1882" totalsRowDxfId="1880" tableBorderDxfId="1881" totalsRowBorderDxfId="1879" dataCellStyle="Normal 2">
  <tableColumns count="8">
    <tableColumn id="1" uniqueName="1" name="AGE_LEVEL_HUSBD_ARB" totalsRowLabel="المجموع" queryTableFieldId="1" headerRowDxfId="1878" dataDxfId="1877" totalsRowDxfId="1876" headerRowCellStyle="Normal 2" dataCellStyle="Normal 2"/>
    <tableColumn id="2" uniqueName="2" name="NO_WIFE_0" totalsRowFunction="sum" queryTableFieldId="2" headerRowDxfId="1875" dataDxfId="1874" totalsRowDxfId="1873" headerRowCellStyle="Normal 2" dataCellStyle="Normal 2"/>
    <tableColumn id="3" uniqueName="3" name="NO_WIFE_1" totalsRowFunction="sum" queryTableFieldId="3" headerRowDxfId="1872" dataDxfId="1871" totalsRowDxfId="1870" headerRowCellStyle="Normal 2" dataCellStyle="Normal 2"/>
    <tableColumn id="4" uniqueName="4" name="NO_WIFE_2" totalsRowFunction="sum" queryTableFieldId="4" headerRowDxfId="1869" dataDxfId="1868" totalsRowDxfId="1867" headerRowCellStyle="Normal 2" dataCellStyle="Normal 2"/>
    <tableColumn id="5" uniqueName="5" name="NO_WIFE_3" totalsRowFunction="sum" queryTableFieldId="5" headerRowDxfId="1866" dataDxfId="1865" totalsRowDxfId="1864" headerRowCellStyle="Normal 2" dataCellStyle="Normal 2"/>
    <tableColumn id="6" uniqueName="6" name="NO_WIFE_NOT_STATED" totalsRowFunction="sum" queryTableFieldId="6" headerRowDxfId="1863" dataDxfId="1862" totalsRowDxfId="1861" headerRowCellStyle="Normal 2" dataCellStyle="Normal 2"/>
    <tableColumn id="7" uniqueName="7" name="TOTAL" totalsRowFunction="sum" queryTableFieldId="7" headerRowDxfId="1860" dataDxfId="1859" totalsRowDxfId="1858" headerRowCellStyle="Normal 2" dataCellStyle="Normal 2"/>
    <tableColumn id="8" uniqueName="8" name="AGE_LEVEL_HUSBD_ENG" totalsRowLabel="Total" queryTableFieldId="8" headerRowDxfId="1857" dataDxfId="1856" totalsRowDxfId="1855" headerRowCellStyle="Normal 2" dataCellStyle="Normal 2"/>
  </tableColumns>
  <tableStyleInfo name="VITAL" showFirstColumn="0" showLastColumn="0" showRowStripes="1" showColumnStripes="0"/>
</table>
</file>

<file path=xl/tables/table12.xml><?xml version="1.0" encoding="utf-8"?>
<table xmlns="http://schemas.openxmlformats.org/spreadsheetml/2006/main" id="12" name="Table_Default__XLS_TAB_12_3" displayName="Table_Default__XLS_TAB_12_3" ref="A9:H23" tableType="queryTable" headerRowCount="0" totalsRowCount="1" dataDxfId="1854" totalsRowDxfId="1852" tableBorderDxfId="1853" totalsRowBorderDxfId="1851" dataCellStyle="Normal 2">
  <tableColumns count="8">
    <tableColumn id="1" uniqueName="1" name="AGE_LEVEL_HUSBD_ARB" totalsRowLabel="المجموع" queryTableFieldId="1" headerRowDxfId="1850" dataDxfId="1849" totalsRowDxfId="1848" headerRowCellStyle="Normal 2" dataCellStyle="Normal 2"/>
    <tableColumn id="2" uniqueName="2" name="NO_WIFE_0" totalsRowFunction="sum" queryTableFieldId="2" headerRowDxfId="1847" dataDxfId="1846" totalsRowDxfId="1845" headerRowCellStyle="Normal 2" dataCellStyle="Normal 2"/>
    <tableColumn id="3" uniqueName="3" name="NO_WIFE_1" totalsRowFunction="sum" queryTableFieldId="3" headerRowDxfId="1844" dataDxfId="1843" totalsRowDxfId="1842" headerRowCellStyle="Normal 2" dataCellStyle="Normal 2"/>
    <tableColumn id="4" uniqueName="4" name="NO_WIFE_2" totalsRowFunction="sum" queryTableFieldId="4" headerRowDxfId="1841" dataDxfId="1840" totalsRowDxfId="1839" headerRowCellStyle="Normal 2" dataCellStyle="Normal 2"/>
    <tableColumn id="5" uniqueName="5" name="NO_WIFE_3" totalsRowFunction="sum" queryTableFieldId="5" headerRowDxfId="1838" dataDxfId="1837" totalsRowDxfId="1836" headerRowCellStyle="Normal 2" dataCellStyle="Normal 2"/>
    <tableColumn id="6" uniqueName="6" name="NO_WIFE_NOT_STATED" totalsRowFunction="sum" queryTableFieldId="6" headerRowDxfId="1835" dataDxfId="1834" totalsRowDxfId="1833" headerRowCellStyle="Normal 2" dataCellStyle="Normal 2"/>
    <tableColumn id="7" uniqueName="7" name="TOTAL" totalsRowFunction="sum" queryTableFieldId="7" headerRowDxfId="1832" dataDxfId="1831" totalsRowDxfId="1830" headerRowCellStyle="Normal 2" dataCellStyle="Normal 2"/>
    <tableColumn id="8" uniqueName="8" name="AGE_LEVEL_HUSBD_ENG" totalsRowLabel="Total" queryTableFieldId="8" headerRowDxfId="1829" dataDxfId="1828" totalsRowDxfId="1827" headerRowCellStyle="Normal 2" dataCellStyle="Normal 2"/>
  </tableColumns>
  <tableStyleInfo name="VITAL" showFirstColumn="0" showLastColumn="0" showRowStripes="1" showColumnStripes="0"/>
</table>
</file>

<file path=xl/tables/table13.xml><?xml version="1.0" encoding="utf-8"?>
<table xmlns="http://schemas.openxmlformats.org/spreadsheetml/2006/main" id="13" name="Table_Default__XLS_TAB_13_1" displayName="Table_Default__XLS_TAB_13_1" ref="A9:H23" tableType="queryTable" headerRowCount="0" totalsRowCount="1" headerRowDxfId="1826" dataDxfId="1825" totalsRowDxfId="1824" totalsRowBorderDxfId="1823">
  <tableColumns count="8">
    <tableColumn id="1" uniqueName="1" name="AGE_LEVEL_HUSBD_ARB" totalsRowLabel="المجموع" queryTableFieldId="1" headerRowDxfId="1822" dataDxfId="1821" totalsRowDxfId="1820" headerRowCellStyle="Normal 2" dataCellStyle="Normal 2"/>
    <tableColumn id="2" uniqueName="2" name="NEVER_MARR" totalsRowFunction="sum" queryTableFieldId="2" headerRowDxfId="1819" dataDxfId="1818" totalsRowDxfId="1817" headerRowCellStyle="Normal 2" dataCellStyle="Normal 2"/>
    <tableColumn id="3" uniqueName="3" name="MARRIED" totalsRowFunction="sum" queryTableFieldId="3" headerRowDxfId="1816" dataDxfId="1815" totalsRowDxfId="1814" headerRowCellStyle="Normal 2" dataCellStyle="Normal 2"/>
    <tableColumn id="4" uniqueName="4" name="DIVORCES" totalsRowFunction="sum" queryTableFieldId="4" headerRowDxfId="1813" dataDxfId="1812" totalsRowDxfId="1811" headerRowCellStyle="Normal 2" dataCellStyle="Normal 2"/>
    <tableColumn id="5" uniqueName="5" name="WIDOWED" totalsRowFunction="sum" queryTableFieldId="5" headerRowDxfId="1810" dataDxfId="1809" totalsRowDxfId="1808" headerRowCellStyle="Normal 2" dataCellStyle="Normal 2"/>
    <tableColumn id="6" uniqueName="6" name="NOT_STATED" totalsRowFunction="sum" queryTableFieldId="6" headerRowDxfId="1807" dataDxfId="1806" totalsRowDxfId="1805" headerRowCellStyle="Normal 2" dataCellStyle="Normal 2"/>
    <tableColumn id="7" uniqueName="7" name="TOTAL" totalsRowFunction="sum" queryTableFieldId="7" headerRowDxfId="1804" dataDxfId="1803" totalsRowDxfId="1802" headerRowCellStyle="Normal 2" dataCellStyle="Normal 2"/>
    <tableColumn id="8" uniqueName="8" name="AGE_LEVEL_HUSBD_ENG" totalsRowLabel="Total" queryTableFieldId="8" headerRowDxfId="1801" dataDxfId="1800" totalsRowDxfId="1799" headerRowCellStyle="Normal 2" dataCellStyle="Normal 2"/>
  </tableColumns>
  <tableStyleInfo name="VITAL" showFirstColumn="0" showLastColumn="0" showRowStripes="1" showColumnStripes="0"/>
</table>
</file>

<file path=xl/tables/table14.xml><?xml version="1.0" encoding="utf-8"?>
<table xmlns="http://schemas.openxmlformats.org/spreadsheetml/2006/main" id="14" name="Table_Default__XLS_TAB_13_2" displayName="Table_Default__XLS_TAB_13_2" ref="A9:H23" tableType="queryTable" headerRowCount="0" totalsRowCount="1" dataDxfId="1798" totalsRowDxfId="1796" tableBorderDxfId="1797" totalsRowBorderDxfId="1795" dataCellStyle="Normal 2">
  <tableColumns count="8">
    <tableColumn id="1" uniqueName="1" name="AGE_LEVEL_HUSBD_ARB" totalsRowLabel="المجموع" queryTableFieldId="1" headerRowDxfId="1794" dataDxfId="1793" totalsRowDxfId="1792" headerRowCellStyle="Normal 2" dataCellStyle="Normal 2"/>
    <tableColumn id="2" uniqueName="2" name="NEVER_MARR" totalsRowFunction="sum" queryTableFieldId="2" headerRowDxfId="1791" dataDxfId="1790" totalsRowDxfId="1789" headerRowCellStyle="Normal 2" dataCellStyle="Normal 2"/>
    <tableColumn id="3" uniqueName="3" name="MARRIED" totalsRowFunction="sum" queryTableFieldId="3" headerRowDxfId="1788" dataDxfId="1787" totalsRowDxfId="1786" headerRowCellStyle="Normal 2" dataCellStyle="Normal 2"/>
    <tableColumn id="4" uniqueName="4" name="DIVORCES" totalsRowFunction="sum" queryTableFieldId="4" headerRowDxfId="1785" dataDxfId="1784" totalsRowDxfId="1783" headerRowCellStyle="Normal 2" dataCellStyle="Normal 2"/>
    <tableColumn id="5" uniqueName="5" name="WIDOWED" totalsRowFunction="sum" queryTableFieldId="5" headerRowDxfId="1782" dataDxfId="1781" totalsRowDxfId="1780" headerRowCellStyle="Normal 2" dataCellStyle="Normal 2"/>
    <tableColumn id="6" uniqueName="6" name="NOT_STATED" totalsRowFunction="sum" queryTableFieldId="6" headerRowDxfId="1779" dataDxfId="1778" totalsRowDxfId="1777" headerRowCellStyle="Normal 2" dataCellStyle="Normal 2"/>
    <tableColumn id="7" uniqueName="7" name="TOTAL" totalsRowFunction="sum" queryTableFieldId="7" headerRowDxfId="1776" dataDxfId="1775" totalsRowDxfId="1774" headerRowCellStyle="Normal 2" dataCellStyle="Normal 2"/>
    <tableColumn id="8" uniqueName="8" name="AGE_LEVEL_HUSBD_ENG" totalsRowLabel="Total" queryTableFieldId="8" headerRowDxfId="1773" dataDxfId="1772" totalsRowDxfId="1771" headerRowCellStyle="Normal 2" dataCellStyle="Normal 2"/>
  </tableColumns>
  <tableStyleInfo name="VITAL" showFirstColumn="0" showLastColumn="0" showRowStripes="1" showColumnStripes="0"/>
</table>
</file>

<file path=xl/tables/table15.xml><?xml version="1.0" encoding="utf-8"?>
<table xmlns="http://schemas.openxmlformats.org/spreadsheetml/2006/main" id="15" name="Table_Default__XLS_TAB_13_3" displayName="Table_Default__XLS_TAB_13_3" ref="A9:H23" tableType="queryTable" headerRowCount="0" totalsRowCount="1" dataDxfId="1770" totalsRowDxfId="1768" tableBorderDxfId="1769" totalsRowBorderDxfId="1767" dataCellStyle="Normal 2">
  <tableColumns count="8">
    <tableColumn id="1" uniqueName="1" name="AGE_LEVEL_HUSBD_ARB" totalsRowLabel="المجموع" queryTableFieldId="1" headerRowDxfId="1766" dataDxfId="1765" totalsRowDxfId="1764" headerRowCellStyle="Normal 2" dataCellStyle="Normal 2"/>
    <tableColumn id="2" uniqueName="2" name="NEVER_MARR" totalsRowFunction="sum" queryTableFieldId="2" headerRowDxfId="1763" dataDxfId="1762" totalsRowDxfId="1761" headerRowCellStyle="Normal 2" dataCellStyle="Normal 2"/>
    <tableColumn id="3" uniqueName="3" name="MARRIED" totalsRowFunction="sum" queryTableFieldId="3" headerRowDxfId="1760" dataDxfId="1759" totalsRowDxfId="1758" headerRowCellStyle="Normal 2" dataCellStyle="Normal 2"/>
    <tableColumn id="4" uniqueName="4" name="DIVORCES" totalsRowFunction="sum" queryTableFieldId="4" headerRowDxfId="1757" dataDxfId="1756" totalsRowDxfId="1755" headerRowCellStyle="Normal 2" dataCellStyle="Normal 2"/>
    <tableColumn id="5" uniqueName="5" name="WIDOWED" totalsRowFunction="sum" queryTableFieldId="5" headerRowDxfId="1754" dataDxfId="1753" totalsRowDxfId="1752" headerRowCellStyle="Normal 2" dataCellStyle="Normal 2"/>
    <tableColumn id="6" uniqueName="6" name="NOT_STATED" totalsRowFunction="sum" queryTableFieldId="6" headerRowDxfId="1751" dataDxfId="1750" totalsRowDxfId="1749" headerRowCellStyle="Normal 2" dataCellStyle="Normal 2"/>
    <tableColumn id="7" uniqueName="7" name="TOTAL" totalsRowFunction="sum" queryTableFieldId="7" headerRowDxfId="1748" dataDxfId="1747" totalsRowDxfId="1746" headerRowCellStyle="Normal 2" dataCellStyle="Normal 2"/>
    <tableColumn id="8" uniqueName="8" name="AGE_LEVEL_HUSBD_ENG" totalsRowLabel="Total" queryTableFieldId="8" headerRowDxfId="1745" dataDxfId="1744" totalsRowDxfId="1743" headerRowCellStyle="Normal 2" dataCellStyle="Normal 2"/>
  </tableColumns>
  <tableStyleInfo name="VITAL" showFirstColumn="0" showLastColumn="0" showRowStripes="1" showColumnStripes="0"/>
</table>
</file>

<file path=xl/tables/table16.xml><?xml version="1.0" encoding="utf-8"?>
<table xmlns="http://schemas.openxmlformats.org/spreadsheetml/2006/main" id="16" name="Table_Default__XLS_TAB_14_1" displayName="Table_Default__XLS_TAB_14_1" ref="A9:G20" tableType="queryTable" headerRowCount="0" totalsRowCount="1" dataDxfId="1742" totalsRowDxfId="1740" tableBorderDxfId="1741" totalsRowBorderDxfId="1739" dataCellStyle="Normal 2">
  <tableColumns count="7">
    <tableColumn id="1" uniqueName="1" name="AGE_LEVEL_HUSBD_ARB" totalsRowLabel="المجموع" queryTableFieldId="1" headerRowDxfId="1738" dataDxfId="1737" totalsRowDxfId="1736" headerRowCellStyle="Normal 2" dataCellStyle="Normal 2"/>
    <tableColumn id="2" uniqueName="2" name="NOT_MARRIED" totalsRowFunction="sum" queryTableFieldId="2" headerRowDxfId="1735" dataDxfId="1734" totalsRowDxfId="1733" headerRowCellStyle="Normal 2" dataCellStyle="Normal 2"/>
    <tableColumn id="3" uniqueName="3" name="DIVORCES" totalsRowFunction="sum" queryTableFieldId="3" headerRowDxfId="1732" dataDxfId="1731" totalsRowDxfId="1730" headerRowCellStyle="Normal 2" dataCellStyle="Normal 2"/>
    <tableColumn id="4" uniqueName="4" name="WIDOWED" totalsRowFunction="sum" queryTableFieldId="4" headerRowDxfId="1729" dataDxfId="1728" totalsRowDxfId="1727" headerRowCellStyle="Normal 2" dataCellStyle="Normal 2"/>
    <tableColumn id="5" uniqueName="5" name="NOT_STATED" totalsRowFunction="sum" queryTableFieldId="5" headerRowDxfId="1726" dataDxfId="1725" totalsRowDxfId="1724" headerRowCellStyle="Normal 2" dataCellStyle="Normal 2"/>
    <tableColumn id="6" uniqueName="6" name="TOTAL" totalsRowFunction="sum" queryTableFieldId="6" headerRowDxfId="1723" dataDxfId="1722" totalsRowDxfId="1721" headerRowCellStyle="Normal 2" dataCellStyle="Normal 2"/>
    <tableColumn id="7" uniqueName="7" name="AGE_LEVEL_HUSBD_ENG" totalsRowLabel="Total" queryTableFieldId="7" headerRowDxfId="1720" dataDxfId="1719" totalsRowDxfId="1718" headerRowCellStyle="Normal 2" dataCellStyle="Normal 2"/>
  </tableColumns>
  <tableStyleInfo name="VITAL" showFirstColumn="0" showLastColumn="0" showRowStripes="1" showColumnStripes="0"/>
</table>
</file>

<file path=xl/tables/table17.xml><?xml version="1.0" encoding="utf-8"?>
<table xmlns="http://schemas.openxmlformats.org/spreadsheetml/2006/main" id="17" name="Table_Default__XLS_TAB_14_2" displayName="Table_Default__XLS_TAB_14_2" ref="A9:G20" tableType="queryTable" headerRowCount="0" totalsRowCount="1" headerRowDxfId="1717" dataDxfId="1716" totalsRowDxfId="1714" tableBorderDxfId="1715" totalsRowBorderDxfId="1713" dataCellStyle="Normal 2" totalsRowCellStyle="Normal 2">
  <tableColumns count="7">
    <tableColumn id="1" uniqueName="1" name="AGE_LEVEL_HUSBD_ARB" totalsRowLabel="المجموع" queryTableFieldId="1" headerRowDxfId="1712" dataDxfId="1711" totalsRowDxfId="1710" headerRowCellStyle="Normal 2" dataCellStyle="Normal 2"/>
    <tableColumn id="2" uniqueName="2" name="NOT_MARRIED" totalsRowFunction="sum" queryTableFieldId="2" headerRowDxfId="1709" dataDxfId="1708" totalsRowDxfId="1707" headerRowCellStyle="Normal 2" dataCellStyle="Normal 2"/>
    <tableColumn id="3" uniqueName="3" name="DIVORCES" totalsRowFunction="sum" queryTableFieldId="3" headerRowDxfId="1706" dataDxfId="1705" totalsRowDxfId="1704" headerRowCellStyle="Normal 2" dataCellStyle="Normal 2"/>
    <tableColumn id="4" uniqueName="4" name="WIDOWED" totalsRowFunction="sum" queryTableFieldId="4" headerRowDxfId="1703" dataDxfId="1702" totalsRowDxfId="1701" headerRowCellStyle="Normal 2" dataCellStyle="Normal 2"/>
    <tableColumn id="5" uniqueName="5" name="NOT_STATED" totalsRowFunction="sum" queryTableFieldId="5" headerRowDxfId="1700" dataDxfId="1699" totalsRowDxfId="1698" headerRowCellStyle="Normal 2" dataCellStyle="Normal 2"/>
    <tableColumn id="6" uniqueName="6" name="TOTAL" totalsRowFunction="sum" queryTableFieldId="6" headerRowDxfId="1697" dataDxfId="1696" totalsRowDxfId="1695" headerRowCellStyle="Normal 2" dataCellStyle="Normal 2"/>
    <tableColumn id="7" uniqueName="7" name="AGE_LEVEL_HUSBD_ENG" totalsRowLabel="Total" queryTableFieldId="7" headerRowDxfId="1694" dataDxfId="1693" totalsRowDxfId="1692" headerRowCellStyle="Normal 2" dataCellStyle="Normal 2"/>
  </tableColumns>
  <tableStyleInfo name="VITAL" showFirstColumn="0" showLastColumn="0" showRowStripes="1" showColumnStripes="0"/>
</table>
</file>

<file path=xl/tables/table18.xml><?xml version="1.0" encoding="utf-8"?>
<table xmlns="http://schemas.openxmlformats.org/spreadsheetml/2006/main" id="18" name="Table_Default__XLS_TAB_14_3" displayName="Table_Default__XLS_TAB_14_3" ref="A9:G20" tableType="queryTable" headerRowCount="0" totalsRowCount="1" headerRowDxfId="1691" dataDxfId="1690" totalsRowDxfId="1688" tableBorderDxfId="1689" totalsRowBorderDxfId="1687" dataCellStyle="Normal 2" totalsRowCellStyle="Normal 2">
  <tableColumns count="7">
    <tableColumn id="1" uniqueName="1" name="AGE_LEVEL_HUSBD_ARB" totalsRowLabel="المجموع" queryTableFieldId="1" headerRowDxfId="1686" dataDxfId="1685" totalsRowDxfId="1684" headerRowCellStyle="Normal 2" dataCellStyle="Normal 2"/>
    <tableColumn id="2" uniqueName="2" name="NOT_MARRIED" totalsRowFunction="sum" queryTableFieldId="2" headerRowDxfId="1683" dataDxfId="1682" totalsRowDxfId="1681" headerRowCellStyle="Normal 2" dataCellStyle="Normal 2"/>
    <tableColumn id="3" uniqueName="3" name="DIVORCES" totalsRowFunction="sum" queryTableFieldId="3" headerRowDxfId="1680" dataDxfId="1679" totalsRowDxfId="1678" headerRowCellStyle="Normal 2" dataCellStyle="Normal 2"/>
    <tableColumn id="4" uniqueName="4" name="WIDOWED" totalsRowFunction="sum" queryTableFieldId="4" headerRowDxfId="1677" dataDxfId="1676" totalsRowDxfId="1675" headerRowCellStyle="Normal 2" dataCellStyle="Normal 2"/>
    <tableColumn id="5" uniqueName="5" name="NOT_STATED" totalsRowFunction="sum" queryTableFieldId="5" headerRowDxfId="1674" dataDxfId="1673" totalsRowDxfId="1672" headerRowCellStyle="Normal 2" dataCellStyle="Normal 2"/>
    <tableColumn id="6" uniqueName="6" name="TOTAL" totalsRowFunction="sum" queryTableFieldId="6" headerRowDxfId="1671" dataDxfId="1670" totalsRowDxfId="1669" headerRowCellStyle="Normal 2" dataCellStyle="Normal 2"/>
    <tableColumn id="7" uniqueName="7" name="AGE_LEVEL_HUSBD_ENG" totalsRowLabel="Total" queryTableFieldId="7" headerRowDxfId="1668" dataDxfId="1667" totalsRowDxfId="1666" headerRowCellStyle="Normal 2" dataCellStyle="Normal 2"/>
  </tableColumns>
  <tableStyleInfo name="VITAL" showFirstColumn="0" showLastColumn="0" showRowStripes="1" showColumnStripes="0"/>
</table>
</file>

<file path=xl/tables/table19.xml><?xml version="1.0" encoding="utf-8"?>
<table xmlns="http://schemas.openxmlformats.org/spreadsheetml/2006/main" id="19" name="Table_Default__XLS_TAB_15_1" displayName="Table_Default__XLS_TAB_15_1" ref="A8:F18" tableType="queryTable" headerRowCount="0" totalsRowCount="1" headerRowDxfId="1665" dataDxfId="1664" totalsRowDxfId="1663" totalsRowBorderDxfId="1662">
  <tableColumns count="6">
    <tableColumn id="1" uniqueName="1" name="AGE_LEVEL_ARB" totalsRowLabel="المجموع" queryTableFieldId="1" headerRowDxfId="1661" dataDxfId="1660" totalsRowDxfId="1659" headerRowCellStyle="Normal 2" dataCellStyle="Normal 2"/>
    <tableColumn id="2" uniqueName="2" name="HUSBD_CNT" totalsRowFunction="sum" queryTableFieldId="2" headerRowDxfId="1658" dataDxfId="1657" totalsRowDxfId="1656" headerRowCellStyle="Normal 2" dataCellStyle="Normal 2"/>
    <tableColumn id="3" uniqueName="3" name="WIFE_CNT" totalsRowFunction="sum" queryTableFieldId="3" headerRowDxfId="1655" dataDxfId="1654" totalsRowDxfId="1653" headerRowCellStyle="Normal 2" dataCellStyle="Normal 2"/>
    <tableColumn id="4" uniqueName="4" name="TOTAL" totalsRowFunction="sum" queryTableFieldId="4" headerRowDxfId="1652" dataDxfId="1651" totalsRowDxfId="1650" headerRowCellStyle="Normal 2" dataCellStyle="Normal 2"/>
    <tableColumn id="5" uniqueName="5" name="PSTG" totalsRowFunction="sum" queryTableFieldId="5" headerRowDxfId="1649" dataDxfId="1648" totalsRowDxfId="1647" headerRowCellStyle="Normal 2" dataCellStyle="Normal 2"/>
    <tableColumn id="6" uniqueName="6" name="AGE_LEVEL_ENG" totalsRowLabel="Total" queryTableFieldId="6" headerRowDxfId="1646" dataDxfId="1645" totalsRowDxfId="1644" headerRowCellStyle="Normal 2" dataCellStyle="Normal 2"/>
  </tableColumns>
  <tableStyleInfo name="VITAL" showFirstColumn="0" showLastColumn="0" showRowStripes="1" showColumnStripes="0"/>
</table>
</file>

<file path=xl/tables/table2.xml><?xml version="1.0" encoding="utf-8"?>
<table xmlns="http://schemas.openxmlformats.org/spreadsheetml/2006/main" id="41" name="Table_Default__XLS_TAB_2" displayName="Table_Default__XLS_TAB_2" ref="A9:N13" tableType="queryTable" headerRowCount="0" totalsRowShown="0" headerRowDxfId="2221" tableBorderDxfId="2220" totalsRowBorderDxfId="2219" headerRowCellStyle="Normal 2">
  <tableColumns count="14">
    <tableColumn id="1" uniqueName="1" name="YEAR_AR" queryTableFieldId="1" headerRowDxfId="2218" dataDxfId="2217" headerRowCellStyle="Normal 2"/>
    <tableColumn id="2" uniqueName="2" name="M_QTRI_COUNT" queryTableFieldId="2" headerRowDxfId="2216" dataDxfId="2215" headerRowCellStyle="Normal 2"/>
    <tableColumn id="3" uniqueName="3" name="M_NQTRI_COUNT" queryTableFieldId="3" headerRowDxfId="2214" dataDxfId="2213" headerRowCellStyle="Normal 2"/>
    <tableColumn id="4" uniqueName="4" name="M_QTRI_TOT_COUNT" queryTableFieldId="4" headerRowDxfId="2212" dataDxfId="2211" headerRowCellStyle="Normal 2"/>
    <tableColumn id="5" uniqueName="5" name="M_QTRI_W_COUNT" queryTableFieldId="5" headerRowDxfId="2210" dataDxfId="2209" headerRowCellStyle="Normal 2"/>
    <tableColumn id="6" uniqueName="6" name="M_NQTRI_W_COUNT" queryTableFieldId="6" headerRowDxfId="2208" dataDxfId="2207" headerRowCellStyle="Normal 2"/>
    <tableColumn id="7" uniqueName="7" name="M_QTRI_TOT_COUNT2" queryTableFieldId="7" headerRowDxfId="2206" dataDxfId="2205" headerRowCellStyle="Normal 2"/>
    <tableColumn id="8" uniqueName="8" name="D_QTRI_COUNT" queryTableFieldId="8" headerRowDxfId="2204" dataDxfId="2203" headerRowCellStyle="Normal 2"/>
    <tableColumn id="9" uniqueName="9" name="D_NQTRI_COUNT" queryTableFieldId="9" headerRowDxfId="2202" dataDxfId="2201" headerRowCellStyle="Normal 2"/>
    <tableColumn id="10" uniqueName="10" name="D_QTRI_TOT_COUNT" queryTableFieldId="10" headerRowDxfId="2200" dataDxfId="2199" headerRowCellStyle="Normal 2"/>
    <tableColumn id="11" uniqueName="11" name="D_QTRI_W_COUNT" queryTableFieldId="11" headerRowDxfId="2198" dataDxfId="2197" headerRowCellStyle="Normal 2"/>
    <tableColumn id="12" uniqueName="12" name="D_NQTRI_W_COUNT" queryTableFieldId="12" headerRowDxfId="2196" dataDxfId="2195" headerRowCellStyle="Normal 2"/>
    <tableColumn id="13" uniqueName="13" name="D_QTRI_TOT_COUNT3" queryTableFieldId="13" headerRowDxfId="2194" dataDxfId="2193" headerRowCellStyle="Normal 2"/>
    <tableColumn id="14" uniqueName="14" name="YEAR_ENG" queryTableFieldId="14" headerRowDxfId="2192" dataDxfId="2191" headerRowCellStyle="Normal 2"/>
  </tableColumns>
  <tableStyleInfo name="VITAL" showFirstColumn="0" showLastColumn="0" showRowStripes="1" showColumnStripes="0"/>
</table>
</file>

<file path=xl/tables/table20.xml><?xml version="1.0" encoding="utf-8"?>
<table xmlns="http://schemas.openxmlformats.org/spreadsheetml/2006/main" id="20" name="Table_Default__XLS_TAB_15_2" displayName="Table_Default__XLS_TAB_15_2" ref="A8:F18" tableType="queryTable" headerRowCount="0" totalsRowCount="1" totalsRowDxfId="1641" headerRowBorderDxfId="1643" tableBorderDxfId="1642" totalsRowBorderDxfId="1640">
  <tableColumns count="6">
    <tableColumn id="1" uniqueName="1" name="AGE_LEVEL_ARB" totalsRowLabel="المجموع" queryTableFieldId="1" headerRowDxfId="1639" dataDxfId="1638" totalsRowDxfId="1637" headerRowCellStyle="Normal 2" dataCellStyle="Normal 2"/>
    <tableColumn id="2" uniqueName="2" name="HUSBD_CNT" totalsRowFunction="sum" queryTableFieldId="2" headerRowDxfId="1636" dataDxfId="1635" totalsRowDxfId="1634" headerRowCellStyle="Normal 2" dataCellStyle="Normal 2"/>
    <tableColumn id="3" uniqueName="3" name="WIFE_CNT" totalsRowFunction="sum" queryTableFieldId="3" headerRowDxfId="1633" dataDxfId="1632" totalsRowDxfId="1631" headerRowCellStyle="Normal 2" dataCellStyle="Normal 2"/>
    <tableColumn id="4" uniqueName="4" name="TOTAL" totalsRowFunction="sum" queryTableFieldId="4" headerRowDxfId="1630" dataDxfId="1629" totalsRowDxfId="1628" headerRowCellStyle="Normal 2" dataCellStyle="Normal 2"/>
    <tableColumn id="5" uniqueName="5" name="PSTG" totalsRowFunction="sum" queryTableFieldId="5" headerRowDxfId="1627" dataDxfId="1626" totalsRowDxfId="1625" headerRowCellStyle="Normal 2" dataCellStyle="Normal 2"/>
    <tableColumn id="6" uniqueName="6" name="AGE_LEVEL_ENG" totalsRowLabel="Total" queryTableFieldId="6" headerRowDxfId="1624" dataDxfId="1623" totalsRowDxfId="1622" headerRowCellStyle="Normal 2" dataCellStyle="Normal 2"/>
  </tableColumns>
  <tableStyleInfo name="VITAL" showFirstColumn="0" showLastColumn="0" showRowStripes="1" showColumnStripes="0"/>
</table>
</file>

<file path=xl/tables/table21.xml><?xml version="1.0" encoding="utf-8"?>
<table xmlns="http://schemas.openxmlformats.org/spreadsheetml/2006/main" id="21" name="Table_Default__XLS_TAB_15_3" displayName="Table_Default__XLS_TAB_15_3" ref="A8:F18" tableType="queryTable" headerRowCount="0" totalsRowCount="1" totalsRowDxfId="1619" headerRowBorderDxfId="1621" tableBorderDxfId="1620" totalsRowBorderDxfId="1618">
  <tableColumns count="6">
    <tableColumn id="1" uniqueName="1" name="AGE_LEVEL_ARB" totalsRowLabel="المجموع" queryTableFieldId="1" headerRowDxfId="1617" dataDxfId="1616" totalsRowDxfId="1615" headerRowCellStyle="Normal 2" dataCellStyle="Normal 2"/>
    <tableColumn id="2" uniqueName="2" name="HUSBD_CNT" totalsRowFunction="sum" queryTableFieldId="2" headerRowDxfId="1614" dataDxfId="1613" totalsRowDxfId="1612" headerRowCellStyle="Normal 2" dataCellStyle="Normal 2"/>
    <tableColumn id="3" uniqueName="3" name="WIFE_CNT" totalsRowFunction="sum" queryTableFieldId="3" headerRowDxfId="1611" dataDxfId="1610" totalsRowDxfId="1609" headerRowCellStyle="Normal 2" dataCellStyle="Normal 2"/>
    <tableColumn id="4" uniqueName="4" name="TOTAL" totalsRowFunction="sum" queryTableFieldId="4" headerRowDxfId="1608" dataDxfId="1607" totalsRowDxfId="1606" headerRowCellStyle="Normal 2" dataCellStyle="Normal 2"/>
    <tableColumn id="5" uniqueName="5" name="PSTG" totalsRowFunction="sum" queryTableFieldId="5" headerRowDxfId="1605" dataDxfId="1604" totalsRowDxfId="1603" headerRowCellStyle="Normal 2" dataCellStyle="Normal 2"/>
    <tableColumn id="6" uniqueName="6" name="AGE_LEVEL_ENG" totalsRowLabel="Total" queryTableFieldId="6" headerRowDxfId="1602" dataDxfId="1601" totalsRowDxfId="1600" headerRowCellStyle="Normal 2" dataCellStyle="Normal 2"/>
  </tableColumns>
  <tableStyleInfo name="VITAL" showFirstColumn="0" showLastColumn="0" showRowStripes="1" showColumnStripes="0"/>
</table>
</file>

<file path=xl/tables/table22.xml><?xml version="1.0" encoding="utf-8"?>
<table xmlns="http://schemas.openxmlformats.org/spreadsheetml/2006/main" id="22" name="Table_Default__XLS_TAB_16_1" displayName="Table_Default__XLS_TAB_16_1" ref="B9:J17" tableType="queryTable" headerRowCount="0" totalsRowCount="1" headerRowDxfId="1599" dataDxfId="1598" totalsRowDxfId="1597" totalsRowBorderDxfId="1596">
  <tableColumns count="9">
    <tableColumn id="1" uniqueName="1" name="ILLITERATE_CNT" totalsRowFunction="sum" queryTableFieldId="1" headerRowDxfId="1595" dataDxfId="1594" totalsRowDxfId="1593" headerRowCellStyle="Normal 2" dataCellStyle="Normal 2"/>
    <tableColumn id="2" uniqueName="2" name="READ_AND_WRITE_CNT" totalsRowFunction="sum" queryTableFieldId="2" headerRowDxfId="1592" dataDxfId="1591" totalsRowDxfId="1590" headerRowCellStyle="Normal 2" dataCellStyle="Normal 2"/>
    <tableColumn id="3" uniqueName="3" name="PRIMARY_CNT" totalsRowFunction="sum" queryTableFieldId="3" headerRowDxfId="1589" dataDxfId="1588" totalsRowDxfId="1587" headerRowCellStyle="Normal 2" dataCellStyle="Normal 2"/>
    <tableColumn id="4" uniqueName="4" name="PREPARATORY_CNT" totalsRowFunction="sum" queryTableFieldId="4" headerRowDxfId="1586" dataDxfId="1585" totalsRowDxfId="1584" headerRowCellStyle="Normal 2" dataCellStyle="Normal 2"/>
    <tableColumn id="5" uniqueName="5" name="SECONDARY_CNT" totalsRowFunction="sum" queryTableFieldId="5" headerRowDxfId="1583" dataDxfId="1582" totalsRowDxfId="1581" headerRowCellStyle="Normal 2" dataCellStyle="Normal 2"/>
    <tableColumn id="6" uniqueName="6" name="PRE_UNIVERSITY_CNT" totalsRowFunction="sum" queryTableFieldId="6" headerRowDxfId="1580" dataDxfId="1579" totalsRowDxfId="1578" headerRowCellStyle="Normal 2" dataCellStyle="Normal 2"/>
    <tableColumn id="7" uniqueName="7" name="UNIV_ABOVE_CNT" totalsRowFunction="sum" queryTableFieldId="7" headerRowDxfId="1577" dataDxfId="1576" totalsRowDxfId="1575" headerRowCellStyle="Normal 2" dataCellStyle="Normal 2"/>
    <tableColumn id="8" uniqueName="8" name="NOT_STATED_CNT" totalsRowFunction="sum" queryTableFieldId="8" headerRowDxfId="1574" dataDxfId="1573" totalsRowDxfId="1572" headerRowCellStyle="Normal 2" dataCellStyle="Normal 2"/>
    <tableColumn id="9" uniqueName="9" name="TOTAL" totalsRowFunction="sum" queryTableFieldId="9" headerRowDxfId="1571" dataDxfId="1570" totalsRowDxfId="1569" headerRowCellStyle="Normal 2" dataCellStyle="Normal 2"/>
  </tableColumns>
  <tableStyleInfo name="VITAL" showFirstColumn="0" showLastColumn="0" showRowStripes="1" showColumnStripes="0"/>
</table>
</file>

<file path=xl/tables/table23.xml><?xml version="1.0" encoding="utf-8"?>
<table xmlns="http://schemas.openxmlformats.org/spreadsheetml/2006/main" id="23" name="Table_Default__XLS_TAB_16_2" displayName="Table_Default__XLS_TAB_16_2" ref="B9:J17" tableType="queryTable" headerRowCount="0" totalsRowCount="1" headerRowDxfId="1568" dataDxfId="1567" totalsRowDxfId="1565" tableBorderDxfId="1566" totalsRowBorderDxfId="1564" headerRowCellStyle="Normal 2" dataCellStyle="Normal 2">
  <tableColumns count="9">
    <tableColumn id="1" uniqueName="1" name="ILLITERATE_CNT" totalsRowFunction="sum" queryTableFieldId="1" headerRowDxfId="1563" dataDxfId="1562" totalsRowDxfId="1561" headerRowCellStyle="Normal 2" dataCellStyle="Normal 2"/>
    <tableColumn id="2" uniqueName="2" name="READ_AND_WRITE_CNT" totalsRowFunction="sum" queryTableFieldId="2" headerRowDxfId="1560" dataDxfId="1559" totalsRowDxfId="1558" headerRowCellStyle="Normal 2" dataCellStyle="Normal 2"/>
    <tableColumn id="3" uniqueName="3" name="PRIMARY_CNT" totalsRowFunction="sum" queryTableFieldId="3" headerRowDxfId="1557" dataDxfId="1556" totalsRowDxfId="1555" headerRowCellStyle="Normal 2" dataCellStyle="Normal 2"/>
    <tableColumn id="4" uniqueName="4" name="PREPARATORY_CNT" totalsRowFunction="sum" queryTableFieldId="4" headerRowDxfId="1554" dataDxfId="1553" totalsRowDxfId="1552" headerRowCellStyle="Normal 2" dataCellStyle="Normal 2"/>
    <tableColumn id="5" uniqueName="5" name="SECONDARY_CNT" totalsRowFunction="sum" queryTableFieldId="5" headerRowDxfId="1551" dataDxfId="1550" totalsRowDxfId="1549" headerRowCellStyle="Normal 2" dataCellStyle="Normal 2"/>
    <tableColumn id="6" uniqueName="6" name="PRE_UNIVERSITY_CNT" totalsRowFunction="sum" queryTableFieldId="6" headerRowDxfId="1548" dataDxfId="1547" totalsRowDxfId="1546" headerRowCellStyle="Normal 2" dataCellStyle="Normal 2"/>
    <tableColumn id="7" uniqueName="7" name="UNIV_ABOVE_CNT" totalsRowFunction="sum" queryTableFieldId="7" headerRowDxfId="1545" dataDxfId="1544" totalsRowDxfId="1543" headerRowCellStyle="Normal 2" dataCellStyle="Normal 2"/>
    <tableColumn id="8" uniqueName="8" name="NOT_STATED_CNT" totalsRowFunction="sum" queryTableFieldId="8" headerRowDxfId="1542" dataDxfId="1541" totalsRowDxfId="1540" headerRowCellStyle="Normal 2" dataCellStyle="Normal 2"/>
    <tableColumn id="9" uniqueName="9" name="TOTAL" totalsRowFunction="sum" queryTableFieldId="9" headerRowDxfId="1539" dataDxfId="1538" totalsRowDxfId="1537" headerRowCellStyle="Normal 2" dataCellStyle="Normal 2"/>
  </tableColumns>
  <tableStyleInfo name="VITAL" showFirstColumn="0" showLastColumn="0" showRowStripes="1" showColumnStripes="0"/>
</table>
</file>

<file path=xl/tables/table24.xml><?xml version="1.0" encoding="utf-8"?>
<table xmlns="http://schemas.openxmlformats.org/spreadsheetml/2006/main" id="24" name="Table_Default__XLS_TAB_16_3" displayName="Table_Default__XLS_TAB_16_3" ref="B9:J17" tableType="queryTable" headerRowCount="0" totalsRowCount="1" headerRowDxfId="1536" dataDxfId="1535" totalsRowDxfId="1533" tableBorderDxfId="1534" totalsRowBorderDxfId="1532" dataCellStyle="Normal 2">
  <tableColumns count="9">
    <tableColumn id="1" uniqueName="1" name="ILLITERATE_CNT" totalsRowFunction="sum" queryTableFieldId="1" headerRowDxfId="1531" dataDxfId="1530" totalsRowDxfId="1529" headerRowCellStyle="Normal 2" dataCellStyle="Normal 2"/>
    <tableColumn id="2" uniqueName="2" name="READ_AND_WRITE_CNT" totalsRowFunction="sum" queryTableFieldId="2" headerRowDxfId="1528" dataDxfId="1527" totalsRowDxfId="1526" headerRowCellStyle="Normal 2" dataCellStyle="Normal 2"/>
    <tableColumn id="3" uniqueName="3" name="PRIMARY_CNT" totalsRowFunction="sum" queryTableFieldId="3" headerRowDxfId="1525" dataDxfId="1524" totalsRowDxfId="1523" headerRowCellStyle="Normal 2" dataCellStyle="Normal 2"/>
    <tableColumn id="4" uniqueName="4" name="PREPARATORY_CNT" totalsRowFunction="sum" queryTableFieldId="4" headerRowDxfId="1522" dataDxfId="1521" totalsRowDxfId="1520" headerRowCellStyle="Normal 2" dataCellStyle="Normal 2"/>
    <tableColumn id="5" uniqueName="5" name="SECONDARY_CNT" totalsRowFunction="sum" queryTableFieldId="5" headerRowDxfId="1519" dataDxfId="1518" totalsRowDxfId="1517" headerRowCellStyle="Normal 2" dataCellStyle="Normal 2"/>
    <tableColumn id="6" uniqueName="6" name="PRE_UNIVERSITY_CNT" totalsRowFunction="sum" queryTableFieldId="6" headerRowDxfId="1516" dataDxfId="1515" totalsRowDxfId="1514" headerRowCellStyle="Normal 2" dataCellStyle="Normal 2"/>
    <tableColumn id="7" uniqueName="7" name="UNIV_ABOVE_CNT" totalsRowFunction="sum" queryTableFieldId="7" headerRowDxfId="1513" dataDxfId="1512" totalsRowDxfId="1511" headerRowCellStyle="Normal 2" dataCellStyle="Normal 2"/>
    <tableColumn id="8" uniqueName="8" name="NOT_STATED_CNT" totalsRowFunction="sum" queryTableFieldId="8" headerRowDxfId="1510" dataDxfId="1509" totalsRowDxfId="1508" headerRowCellStyle="Normal 2" dataCellStyle="Normal 2"/>
    <tableColumn id="9" uniqueName="9" name="TOTAL" totalsRowFunction="sum" queryTableFieldId="9" headerRowDxfId="1507" dataDxfId="1506" totalsRowDxfId="1505" headerRowCellStyle="Normal 2" dataCellStyle="Normal 2"/>
  </tableColumns>
  <tableStyleInfo name="VITAL" showFirstColumn="0" showLastColumn="0" showRowStripes="1" showColumnStripes="0"/>
</table>
</file>

<file path=xl/tables/table25.xml><?xml version="1.0" encoding="utf-8"?>
<table xmlns="http://schemas.openxmlformats.org/spreadsheetml/2006/main" id="25" name="Table_Default__XLS_TAB_17_1" displayName="Table_Default__XLS_TAB_17_1" ref="A10:O22" tableType="queryTable" headerRowCount="0" totalsRowCount="1" headerRowDxfId="1504" totalsRowDxfId="1502" tableBorderDxfId="1503" totalsRowBorderDxfId="1501" totalsRowCellStyle="Normal 2">
  <tableColumns count="15">
    <tableColumn id="1" uniqueName="1" name="JOB_ARB" totalsRowLabel="المجموع العام  " queryTableFieldId="1" headerRowDxfId="1500" dataDxfId="1499" totalsRowDxfId="1498" headerRowCellStyle="Normal 2" dataCellStyle="Normal 2"/>
    <tableColumn id="2" uniqueName="2" name="LEGISLATORS_CNT" totalsRowFunction="custom" queryTableFieldId="2" headerRowDxfId="1497" dataDxfId="1496" totalsRowDxfId="1495" headerRowCellStyle="Normal 2" dataCellStyle="Normal 2">
      <totalsRowFormula>(SUM(B20+B21))</totalsRowFormula>
    </tableColumn>
    <tableColumn id="3" uniqueName="3" name="PROFESSIONALS_CNT" totalsRowFunction="custom" queryTableFieldId="3" headerRowDxfId="1494" dataDxfId="1493" totalsRowDxfId="1492" headerRowCellStyle="Normal 2" dataCellStyle="Normal 2">
      <totalsRowFormula>(SUM(C20+C21))</totalsRowFormula>
    </tableColumn>
    <tableColumn id="4" uniqueName="4" name="TECHNICIANS_CNT" totalsRowFunction="custom" queryTableFieldId="4" headerRowDxfId="1491" dataDxfId="1490" totalsRowDxfId="1489" headerRowCellStyle="Normal 2" dataCellStyle="Normal 2">
      <totalsRowFormula>(SUM(D20+D21))</totalsRowFormula>
    </tableColumn>
    <tableColumn id="5" uniqueName="5" name="CLERKS_CNT" totalsRowFunction="custom" queryTableFieldId="5" headerRowDxfId="1488" dataDxfId="1487" totalsRowDxfId="1486" headerRowCellStyle="Normal 2" dataCellStyle="Normal 2">
      <totalsRowFormula>(SUM(E20+E21))</totalsRowFormula>
    </tableColumn>
    <tableColumn id="6" uniqueName="6" name="SERVICE_WORKERS_CNT" totalsRowFunction="custom" queryTableFieldId="6" headerRowDxfId="1485" dataDxfId="1484" totalsRowDxfId="1483" headerRowCellStyle="Normal 2" dataCellStyle="Normal 2">
      <totalsRowFormula>(SUM(F20+F21))</totalsRowFormula>
    </tableColumn>
    <tableColumn id="7" uniqueName="7" name="SKILLED_AGRICULTURAL_CNT" totalsRowFunction="custom" queryTableFieldId="7" headerRowDxfId="1482" dataDxfId="1481" totalsRowDxfId="1480" headerRowCellStyle="Normal 2" dataCellStyle="Normal 2">
      <totalsRowFormula>(SUM(G20+G21))</totalsRowFormula>
    </tableColumn>
    <tableColumn id="8" uniqueName="8" name="CRAFT_CNT" totalsRowFunction="custom" queryTableFieldId="8" headerRowDxfId="1479" dataDxfId="1478" totalsRowDxfId="1477" headerRowCellStyle="Normal 2" dataCellStyle="Normal 2">
      <totalsRowFormula>(SUM(H20+H21))</totalsRowFormula>
    </tableColumn>
    <tableColumn id="9" uniqueName="9" name="PLANT_CNT" totalsRowFunction="custom" queryTableFieldId="9" headerRowDxfId="1476" dataDxfId="1475" totalsRowDxfId="1474" headerRowCellStyle="Normal 2" dataCellStyle="Normal 2">
      <totalsRowFormula>(SUM(I20+I21))</totalsRowFormula>
    </tableColumn>
    <tableColumn id="10" uniqueName="10" name="ELEMENTARY_OCCUPATIONS_CNT" totalsRowFunction="custom" queryTableFieldId="10" headerRowDxfId="1473" dataDxfId="1472" totalsRowDxfId="1471" headerRowCellStyle="Normal 2" dataCellStyle="Normal 2">
      <totalsRowFormula>(SUM(J20+J21))</totalsRowFormula>
    </tableColumn>
    <tableColumn id="11" uniqueName="11" name="NOT_KNOWN_CNT" totalsRowFunction="custom" queryTableFieldId="11" headerRowDxfId="1470" dataDxfId="1469" totalsRowDxfId="1468" headerRowCellStyle="Normal 2" dataCellStyle="Normal 2">
      <totalsRowFormula>(SUM(K20+K21))</totalsRowFormula>
    </tableColumn>
    <tableColumn id="12" uniqueName="12" name="TOTAL" totalsRowFunction="custom" queryTableFieldId="12" headerRowDxfId="1467" dataDxfId="1466" totalsRowDxfId="1465" headerRowCellStyle="Normal 2" dataCellStyle="Normal 2">
      <totalsRowFormula>(SUM(L20+L21))</totalsRowFormula>
    </tableColumn>
    <tableColumn id="13" uniqueName="13" name="NO_OCCUP" totalsRowFunction="custom" queryTableFieldId="13" headerRowDxfId="1464" dataDxfId="1463" totalsRowDxfId="1462" headerRowCellStyle="Normal 2" dataCellStyle="Normal 2">
      <totalsRowFormula>(SUM(M20+M21))</totalsRowFormula>
    </tableColumn>
    <tableColumn id="14" uniqueName="14" name="GRND_TOTAL" totalsRowFunction="custom" queryTableFieldId="14" headerRowDxfId="1461" dataDxfId="1460" totalsRowDxfId="1459" headerRowCellStyle="Normal 2" dataCellStyle="Normal 2">
      <totalsRowFormula>(SUM(N20+N21))</totalsRowFormula>
    </tableColumn>
    <tableColumn id="15" uniqueName="15" name="JOB_ENG" totalsRowLabel="Grand Total  " queryTableFieldId="15" headerRowDxfId="1458" dataDxfId="1457" totalsRowDxfId="1456" headerRowCellStyle="Normal 2" dataCellStyle="Normal 2"/>
  </tableColumns>
  <tableStyleInfo name="VITAL" showFirstColumn="0" showLastColumn="0" showRowStripes="1" showColumnStripes="0"/>
</table>
</file>

<file path=xl/tables/table26.xml><?xml version="1.0" encoding="utf-8"?>
<table xmlns="http://schemas.openxmlformats.org/spreadsheetml/2006/main" id="26" name="Table_Default__XLS_TAB_17_2" displayName="Table_Default__XLS_TAB_17_2" ref="A10:O22" tableType="queryTable" headerRowCount="0" totalsRowCount="1" dataDxfId="1455" totalsRowDxfId="1453" tableBorderDxfId="1454" totalsRowBorderDxfId="1452" dataCellStyle="Normal 2">
  <tableColumns count="15">
    <tableColumn id="1" uniqueName="1" name="JOB_ARB" totalsRowLabel="المجموع العام  " queryTableFieldId="1" headerRowDxfId="1451" dataDxfId="1450" totalsRowDxfId="1449" headerRowCellStyle="Normal 2" dataCellStyle="Normal 2"/>
    <tableColumn id="2" uniqueName="2" name="LEGISLATORS_CNT" totalsRowFunction="custom" queryTableFieldId="2" headerRowDxfId="1448" dataDxfId="1447" totalsRowDxfId="1446" headerRowCellStyle="Normal 2" dataCellStyle="Normal 2">
      <totalsRowFormula>B20+B21</totalsRowFormula>
    </tableColumn>
    <tableColumn id="3" uniqueName="3" name="PROFESSIONALS_CNT" totalsRowFunction="custom" queryTableFieldId="3" headerRowDxfId="1445" totalsRowDxfId="1444" headerRowCellStyle="Normal 2" dataCellStyle="Normal 2">
      <totalsRowFormula>C20+C21</totalsRowFormula>
    </tableColumn>
    <tableColumn id="4" uniqueName="4" name="TECHNICIANS_CNT" totalsRowFunction="custom" queryTableFieldId="4" headerRowDxfId="1443" totalsRowDxfId="1442" headerRowCellStyle="Normal 2" dataCellStyle="Normal 2">
      <totalsRowFormula>D20+D21</totalsRowFormula>
    </tableColumn>
    <tableColumn id="5" uniqueName="5" name="CLERKS_CNT" totalsRowFunction="custom" queryTableFieldId="5" headerRowDxfId="1441" totalsRowDxfId="1440" headerRowCellStyle="Normal 2" dataCellStyle="Normal 2">
      <totalsRowFormula>E20+E21</totalsRowFormula>
    </tableColumn>
    <tableColumn id="6" uniqueName="6" name="SERVICE_WORKERS_CNT" totalsRowFunction="custom" queryTableFieldId="6" headerRowDxfId="1439" totalsRowDxfId="1438" headerRowCellStyle="Normal 2" dataCellStyle="Normal 2">
      <totalsRowFormula>F20+F21</totalsRowFormula>
    </tableColumn>
    <tableColumn id="7" uniqueName="7" name="SKILLED_AGRICULTURAL_CNT" totalsRowFunction="custom" queryTableFieldId="7" headerRowDxfId="1437" totalsRowDxfId="1436" headerRowCellStyle="Normal 2" dataCellStyle="Normal 2">
      <totalsRowFormula>G20+G21</totalsRowFormula>
    </tableColumn>
    <tableColumn id="8" uniqueName="8" name="CRAFT_CNT" totalsRowFunction="custom" queryTableFieldId="8" headerRowDxfId="1435" totalsRowDxfId="1434" headerRowCellStyle="Normal 2" dataCellStyle="Normal 2">
      <totalsRowFormula>H20+H21</totalsRowFormula>
    </tableColumn>
    <tableColumn id="9" uniqueName="9" name="PLANT_CNT" totalsRowFunction="custom" queryTableFieldId="9" headerRowDxfId="1433" totalsRowDxfId="1432" headerRowCellStyle="Normal 2" dataCellStyle="Normal 2">
      <totalsRowFormula>I20+I21</totalsRowFormula>
    </tableColumn>
    <tableColumn id="10" uniqueName="10" name="ELEMENTARY_OCCUPATIONS_CNT" totalsRowFunction="custom" queryTableFieldId="10" headerRowDxfId="1431" totalsRowDxfId="1430" headerRowCellStyle="Normal 2" dataCellStyle="Normal 2">
      <totalsRowFormula>J20+J21</totalsRowFormula>
    </tableColumn>
    <tableColumn id="11" uniqueName="11" name="NOT_KNOWN_CNT" totalsRowFunction="custom" queryTableFieldId="11" headerRowDxfId="1429" totalsRowDxfId="1428" headerRowCellStyle="Normal 2" dataCellStyle="Normal 2">
      <totalsRowFormula>K20+K21</totalsRowFormula>
    </tableColumn>
    <tableColumn id="12" uniqueName="12" name="TOTAL" totalsRowFunction="custom" queryTableFieldId="12" headerRowDxfId="1427" dataDxfId="1426" totalsRowDxfId="1425" headerRowCellStyle="Normal 2" dataCellStyle="Normal 2">
      <totalsRowFormula>L20+L21</totalsRowFormula>
    </tableColumn>
    <tableColumn id="13" uniqueName="13" name="NO_OCCUP" totalsRowFunction="custom" queryTableFieldId="13" headerRowDxfId="1424" totalsRowDxfId="1423" headerRowCellStyle="Normal 2" dataCellStyle="Normal 2">
      <totalsRowFormula>M20+M21</totalsRowFormula>
    </tableColumn>
    <tableColumn id="14" uniqueName="14" name="GRND_TOTAL" totalsRowFunction="custom" queryTableFieldId="14" headerRowDxfId="1422" dataDxfId="1421" totalsRowDxfId="1420" headerRowCellStyle="Normal 2" dataCellStyle="Normal 2">
      <totalsRowFormula>N20+N21</totalsRowFormula>
    </tableColumn>
    <tableColumn id="15" uniqueName="15" name="JOB_ENG" totalsRowLabel="Grand Total  " queryTableFieldId="15" headerRowDxfId="1419" dataDxfId="1418" totalsRowDxfId="1417" headerRowCellStyle="Normal 2" dataCellStyle="Normal 2"/>
  </tableColumns>
  <tableStyleInfo name="VITAL" showFirstColumn="0" showLastColumn="0" showRowStripes="1" showColumnStripes="0"/>
</table>
</file>

<file path=xl/tables/table27.xml><?xml version="1.0" encoding="utf-8"?>
<table xmlns="http://schemas.openxmlformats.org/spreadsheetml/2006/main" id="27" name="Table_Default__XLS_TAB_17_3" displayName="Table_Default__XLS_TAB_17_3" ref="A10:O22" tableType="queryTable" headerRowCount="0" totalsRowCount="1" totalsRowDxfId="1415" tableBorderDxfId="1416" totalsRowBorderDxfId="1414">
  <tableColumns count="15">
    <tableColumn id="1" uniqueName="1" name="JOB_ARB" totalsRowLabel="المجموع العام  " queryTableFieldId="1" headerRowDxfId="1413" dataDxfId="1412" totalsRowDxfId="1411" headerRowCellStyle="Normal 2" dataCellStyle="Normal 2"/>
    <tableColumn id="2" uniqueName="2" name="LEGISLATORS_CNT" totalsRowFunction="custom" queryTableFieldId="2" headerRowDxfId="1410" dataDxfId="1409" totalsRowDxfId="1408" headerRowCellStyle="Normal 2" dataCellStyle="Normal 2">
      <totalsRowFormula>B20+B21</totalsRowFormula>
    </tableColumn>
    <tableColumn id="3" uniqueName="3" name="PROFESSIONALS_CNT" totalsRowFunction="custom" queryTableFieldId="3" headerRowDxfId="1407" dataDxfId="1406" totalsRowDxfId="1405" headerRowCellStyle="Normal 2" dataCellStyle="Normal 2">
      <totalsRowFormula>C20+C21</totalsRowFormula>
    </tableColumn>
    <tableColumn id="4" uniqueName="4" name="TECHNICIANS_CNT" totalsRowFunction="custom" queryTableFieldId="4" headerRowDxfId="1404" dataDxfId="1403" totalsRowDxfId="1402" headerRowCellStyle="Normal 2" dataCellStyle="Normal 2">
      <totalsRowFormula>D20+D21</totalsRowFormula>
    </tableColumn>
    <tableColumn id="5" uniqueName="5" name="CLERKS_CNT" totalsRowFunction="custom" queryTableFieldId="5" headerRowDxfId="1401" dataDxfId="1400" totalsRowDxfId="1399" headerRowCellStyle="Normal 2" dataCellStyle="Normal 2">
      <totalsRowFormula>E20+E21</totalsRowFormula>
    </tableColumn>
    <tableColumn id="6" uniqueName="6" name="SERVICE_WORKERS_CNT" totalsRowFunction="custom" queryTableFieldId="6" headerRowDxfId="1398" dataDxfId="1397" totalsRowDxfId="1396" headerRowCellStyle="Normal 2" dataCellStyle="Normal 2">
      <totalsRowFormula>F20+F21</totalsRowFormula>
    </tableColumn>
    <tableColumn id="7" uniqueName="7" name="SKILLED_AGRICULTURAL_CNT" totalsRowFunction="custom" queryTableFieldId="7" headerRowDxfId="1395" dataDxfId="1394" totalsRowDxfId="1393" headerRowCellStyle="Normal 2" dataCellStyle="Normal 2">
      <totalsRowFormula>G20+G21</totalsRowFormula>
    </tableColumn>
    <tableColumn id="8" uniqueName="8" name="CRAFT_CNT" totalsRowFunction="custom" queryTableFieldId="8" headerRowDxfId="1392" dataDxfId="1391" totalsRowDxfId="1390" headerRowCellStyle="Normal 2" dataCellStyle="Normal 2">
      <totalsRowFormula>H20+H21</totalsRowFormula>
    </tableColumn>
    <tableColumn id="9" uniqueName="9" name="PLANT_CNT" totalsRowFunction="custom" queryTableFieldId="9" headerRowDxfId="1389" dataDxfId="1388" totalsRowDxfId="1387" headerRowCellStyle="Normal 2" dataCellStyle="Normal 2">
      <totalsRowFormula>I20+I21</totalsRowFormula>
    </tableColumn>
    <tableColumn id="10" uniqueName="10" name="ELEMENTARY_OCCUPATIONS_CNT" totalsRowFunction="custom" queryTableFieldId="10" headerRowDxfId="1386" dataDxfId="1385" totalsRowDxfId="1384" headerRowCellStyle="Normal 2" dataCellStyle="Normal 2">
      <totalsRowFormula>J20+J21</totalsRowFormula>
    </tableColumn>
    <tableColumn id="11" uniqueName="11" name="NOT_KNOWN_CNT" totalsRowFunction="custom" queryTableFieldId="11" headerRowDxfId="1383" dataDxfId="1382" totalsRowDxfId="1381" headerRowCellStyle="Normal 2" dataCellStyle="Normal 2">
      <totalsRowFormula>K20+K21</totalsRowFormula>
    </tableColumn>
    <tableColumn id="12" uniqueName="12" name="TOTAL" totalsRowFunction="custom" queryTableFieldId="12" headerRowDxfId="1380" dataDxfId="1379" totalsRowDxfId="1378" headerRowCellStyle="Normal 2" dataCellStyle="Normal 2">
      <totalsRowFormula>L20+L21</totalsRowFormula>
    </tableColumn>
    <tableColumn id="13" uniqueName="13" name="NO_OCCUP" totalsRowFunction="custom" queryTableFieldId="13" headerRowDxfId="1377" dataDxfId="1376" totalsRowDxfId="1375" headerRowCellStyle="Normal 2" dataCellStyle="Normal 2">
      <totalsRowFormula>M20+M21</totalsRowFormula>
    </tableColumn>
    <tableColumn id="14" uniqueName="14" name="GRND_TOTAL" totalsRowFunction="custom" queryTableFieldId="14" headerRowDxfId="1374" dataDxfId="1373" totalsRowDxfId="1372" headerRowCellStyle="Normal 2" dataCellStyle="Normal 2">
      <totalsRowFormula>N20+N21</totalsRowFormula>
    </tableColumn>
    <tableColumn id="15" uniqueName="15" name="JOB_ENG" totalsRowLabel="Grand Total  " queryTableFieldId="15" headerRowDxfId="1371" dataDxfId="1370" totalsRowDxfId="1369" headerRowCellStyle="Normal 2" dataCellStyle="Normal 2"/>
  </tableColumns>
  <tableStyleInfo name="VITAL" showFirstColumn="0" showLastColumn="0" showRowStripes="1" showColumnStripes="0"/>
</table>
</file>

<file path=xl/tables/table28.xml><?xml version="1.0" encoding="utf-8"?>
<table xmlns="http://schemas.openxmlformats.org/spreadsheetml/2006/main" id="29" name="Table_Default__XLS_TAB_18_1" displayName="Table_Default__XLS_TAB_18_1" ref="A9:N23" tableType="queryTable" headerRowCount="0" totalsRowCount="1" headerRowDxfId="1368" totalsRowDxfId="1366" tableBorderDxfId="1367" totalsRowBorderDxfId="1365">
  <tableColumns count="14">
    <tableColumn id="1" uniqueName="1" name="AGE_LEVEL_HUSBD_ARB" totalsRowLabel="المجموع" queryTableFieldId="1" headerRowDxfId="1364" dataDxfId="1363" totalsRowDxfId="1362" headerRowCellStyle="Normal 2" dataCellStyle="Normal 2"/>
    <tableColumn id="2" uniqueName="2" name="AGE_LEVEL_LESS_20" totalsRowFunction="sum" queryTableFieldId="2" headerRowDxfId="1361" dataDxfId="1360" totalsRowDxfId="1359" headerRowCellStyle="Normal 2" dataCellStyle="Normal 2"/>
    <tableColumn id="3" uniqueName="3" name="AGE_LEVEL_20_24" totalsRowFunction="sum" queryTableFieldId="3" headerRowDxfId="1358" dataDxfId="1357" totalsRowDxfId="1356" headerRowCellStyle="Normal 2" dataCellStyle="Normal 2"/>
    <tableColumn id="4" uniqueName="4" name="AGE_LEVEL_25_29" totalsRowFunction="sum" queryTableFieldId="4" headerRowDxfId="1355" dataDxfId="1354" totalsRowDxfId="1353" headerRowCellStyle="Normal 2" dataCellStyle="Normal 2"/>
    <tableColumn id="5" uniqueName="5" name="AGE_LEVEL_30_34" totalsRowFunction="sum" queryTableFieldId="5" headerRowDxfId="1352" dataDxfId="1351" totalsRowDxfId="1350" headerRowCellStyle="Normal 2" dataCellStyle="Normal 2"/>
    <tableColumn id="6" uniqueName="6" name="AGE_LEVEL_35_39" totalsRowFunction="sum" queryTableFieldId="6" headerRowDxfId="1349" dataDxfId="1348" totalsRowDxfId="1347" headerRowCellStyle="Normal 2" dataCellStyle="Normal 2"/>
    <tableColumn id="7" uniqueName="7" name="AGE_LEVEL_40_44" totalsRowFunction="sum" queryTableFieldId="7" headerRowDxfId="1346" dataDxfId="1345" totalsRowDxfId="1344" headerRowCellStyle="Normal 2" dataCellStyle="Normal 2"/>
    <tableColumn id="8" uniqueName="8" name="AGE_LEVEL_45_49" totalsRowFunction="sum" queryTableFieldId="8" headerRowDxfId="1343" dataDxfId="1342" totalsRowDxfId="1341" headerRowCellStyle="Normal 2" dataCellStyle="Normal 2"/>
    <tableColumn id="9" uniqueName="9" name="AGE_LEVEL_50_54" totalsRowFunction="sum" queryTableFieldId="9" headerRowDxfId="1340" dataDxfId="1339" totalsRowDxfId="1338" headerRowCellStyle="Normal 2" dataCellStyle="Normal 2"/>
    <tableColumn id="10" uniqueName="10" name="AGE_LEVEL_55_59" totalsRowFunction="sum" queryTableFieldId="10" headerRowDxfId="1337" dataDxfId="1336" totalsRowDxfId="1335" headerRowCellStyle="Normal 2" dataCellStyle="Normal 2"/>
    <tableColumn id="11" uniqueName="11" name="AGE_LEVEL_UP_60" totalsRowFunction="sum" queryTableFieldId="11" headerRowDxfId="1334" dataDxfId="1333" totalsRowDxfId="1332" headerRowCellStyle="Normal 2" dataCellStyle="Normal 2"/>
    <tableColumn id="12" uniqueName="12" name="AGE_LEVEL_NOT_STATED" totalsRowFunction="sum" queryTableFieldId="12" headerRowDxfId="1331" dataDxfId="1330" totalsRowDxfId="1329" headerRowCellStyle="Normal 2" dataCellStyle="Normal 2"/>
    <tableColumn id="13" uniqueName="13" name="TOTAL" totalsRowFunction="sum" queryTableFieldId="13" headerRowDxfId="1328" dataDxfId="1327" totalsRowDxfId="1326" headerRowCellStyle="Normal 2" dataCellStyle="Normal 2"/>
    <tableColumn id="14" uniqueName="14" name="AGE_LEVEL_HUSBD_ENG" totalsRowLabel="Total" queryTableFieldId="14" headerRowDxfId="1325" dataDxfId="1324" totalsRowDxfId="1323" headerRowCellStyle="Normal 2" dataCellStyle="Normal 2"/>
  </tableColumns>
  <tableStyleInfo name="VITAL" showFirstColumn="0" showLastColumn="0" showRowStripes="1" showColumnStripes="0"/>
</table>
</file>

<file path=xl/tables/table29.xml><?xml version="1.0" encoding="utf-8"?>
<table xmlns="http://schemas.openxmlformats.org/spreadsheetml/2006/main" id="30" name="Table_Default__XLS_TAB_18_2" displayName="Table_Default__XLS_TAB_18_2" ref="A9:N23" tableType="queryTable" headerRowCount="0" totalsRowCount="1" dataDxfId="1322" totalsRowDxfId="1320" tableBorderDxfId="1321" totalsRowBorderDxfId="1319" dataCellStyle="Normal 2">
  <tableColumns count="14">
    <tableColumn id="1" uniqueName="1" name="AGE_LEVEL_HUSBD_ARB" totalsRowLabel="المجموع" queryTableFieldId="1" headerRowDxfId="1318" dataDxfId="1317" totalsRowDxfId="1316" headerRowCellStyle="Normal 2" dataCellStyle="Normal 2"/>
    <tableColumn id="2" uniqueName="2" name="AGE_LEVEL_LESS_20" totalsRowFunction="sum" queryTableFieldId="2" headerRowDxfId="1315" dataDxfId="1314" totalsRowDxfId="1313" headerRowCellStyle="Normal 2" dataCellStyle="Normal 2"/>
    <tableColumn id="3" uniqueName="3" name="AGE_LEVEL_20_24" totalsRowFunction="sum" queryTableFieldId="3" headerRowDxfId="1312" dataDxfId="1311" totalsRowDxfId="1310" headerRowCellStyle="Normal 2" dataCellStyle="Normal 2"/>
    <tableColumn id="4" uniqueName="4" name="AGE_LEVEL_25_29" totalsRowFunction="sum" queryTableFieldId="4" headerRowDxfId="1309" dataDxfId="1308" totalsRowDxfId="1307" headerRowCellStyle="Normal 2" dataCellStyle="Normal 2"/>
    <tableColumn id="5" uniqueName="5" name="AGE_LEVEL_30_34" totalsRowFunction="sum" queryTableFieldId="5" headerRowDxfId="1306" dataDxfId="1305" totalsRowDxfId="1304" headerRowCellStyle="Normal 2" dataCellStyle="Normal 2"/>
    <tableColumn id="6" uniqueName="6" name="AGE_LEVEL_35_39" totalsRowFunction="sum" queryTableFieldId="6" headerRowDxfId="1303" dataDxfId="1302" totalsRowDxfId="1301" headerRowCellStyle="Normal 2" dataCellStyle="Normal 2"/>
    <tableColumn id="7" uniqueName="7" name="AGE_LEVEL_40_44" totalsRowFunction="sum" queryTableFieldId="7" headerRowDxfId="1300" dataDxfId="1299" totalsRowDxfId="1298" headerRowCellStyle="Normal 2" dataCellStyle="Normal 2"/>
    <tableColumn id="8" uniqueName="8" name="AGE_LEVEL_45_49" totalsRowFunction="sum" queryTableFieldId="8" headerRowDxfId="1297" dataDxfId="1296" totalsRowDxfId="1295" headerRowCellStyle="Normal 2" dataCellStyle="Normal 2"/>
    <tableColumn id="9" uniqueName="9" name="AGE_LEVEL_50_54" totalsRowFunction="sum" queryTableFieldId="9" headerRowDxfId="1294" dataDxfId="1293" totalsRowDxfId="1292" headerRowCellStyle="Normal 2" dataCellStyle="Normal 2"/>
    <tableColumn id="10" uniqueName="10" name="AGE_LEVEL_55_59" totalsRowFunction="sum" queryTableFieldId="10" headerRowDxfId="1291" dataDxfId="1290" totalsRowDxfId="1289" headerRowCellStyle="Normal 2" dataCellStyle="Normal 2"/>
    <tableColumn id="11" uniqueName="11" name="AGE_LEVEL_UP_60" totalsRowFunction="sum" queryTableFieldId="11" headerRowDxfId="1288" dataDxfId="1287" totalsRowDxfId="1286" headerRowCellStyle="Normal 2" dataCellStyle="Normal 2"/>
    <tableColumn id="12" uniqueName="12" name="AGE_LEVEL_NOT_STATED" totalsRowFunction="sum" queryTableFieldId="12" headerRowDxfId="1285" dataDxfId="1284" totalsRowDxfId="1283" headerRowCellStyle="Normal 2" dataCellStyle="Normal 2"/>
    <tableColumn id="13" uniqueName="13" name="TOTAL" totalsRowFunction="sum" queryTableFieldId="13" headerRowDxfId="1282" dataDxfId="1281" totalsRowDxfId="1280" headerRowCellStyle="Normal 2" dataCellStyle="Normal 2"/>
    <tableColumn id="14" uniqueName="14" name="AGE_LEVEL_HUSBD_ENG" totalsRowLabel="Total" queryTableFieldId="14" headerRowDxfId="1279" dataDxfId="1278" totalsRowDxfId="1277" headerRowCellStyle="Normal 2" dataCellStyle="Normal 2"/>
  </tableColumns>
  <tableStyleInfo name="VITAL" showFirstColumn="0" showLastColumn="0" showRowStripes="1" showColumnStripes="0"/>
</table>
</file>

<file path=xl/tables/table3.xml><?xml version="1.0" encoding="utf-8"?>
<table xmlns="http://schemas.openxmlformats.org/spreadsheetml/2006/main" id="1" name="Table_Default__XLS_TAB_7" displayName="Table_Default__XLS_TAB_7" ref="B7:G19" tableType="queryTable" headerRowCount="0" totalsRowCount="1" headerRowDxfId="2190" dataDxfId="2189" totalsRowDxfId="2188" totalsRowBorderDxfId="2187">
  <tableColumns count="6">
    <tableColumn id="1" uniqueName="1" name="M_QTRI_COUNT" totalsRowFunction="custom" queryTableFieldId="1" headerRowDxfId="2186" dataDxfId="2185" totalsRowDxfId="2184" headerRowCellStyle="TXT2" dataCellStyle="TXT2">
      <totalsRowFormula>SUM(B7:B18)</totalsRowFormula>
    </tableColumn>
    <tableColumn id="2" uniqueName="2" name="M_NQTRI_COUNT" totalsRowFunction="custom" queryTableFieldId="2" headerRowDxfId="2183" dataDxfId="2182" totalsRowDxfId="2181" headerRowCellStyle="TXT2" dataCellStyle="TXT2">
      <totalsRowFormula>SUM(Table_Default__XLS_TAB_7[M_NQTRI_COUNT])</totalsRowFormula>
    </tableColumn>
    <tableColumn id="3" uniqueName="3" name="M_QTRI_TOT_COUNT" totalsRowFunction="custom" queryTableFieldId="3" headerRowDxfId="2180" dataDxfId="2179" totalsRowDxfId="2178" headerRowCellStyle="TXT2" dataCellStyle="Total1">
      <totalsRowFormula>SUM(Table_Default__XLS_TAB_7[M_QTRI_TOT_COUNT])</totalsRowFormula>
    </tableColumn>
    <tableColumn id="4" uniqueName="4" name="W_QTRI_COUNT" totalsRowFunction="custom" queryTableFieldId="4" headerRowDxfId="2177" dataDxfId="2176" totalsRowDxfId="2175" headerRowCellStyle="TXT2" dataCellStyle="TXT2">
      <totalsRowFormula>SUM(Table_Default__XLS_TAB_7[W_QTRI_COUNT])</totalsRowFormula>
    </tableColumn>
    <tableColumn id="5" uniqueName="5" name="W_NQTRI_COUNT" totalsRowFunction="custom" queryTableFieldId="5" headerRowDxfId="2174" dataDxfId="2173" totalsRowDxfId="2172" headerRowCellStyle="TXT2" dataCellStyle="TXT2">
      <totalsRowFormula>SUM(Table_Default__XLS_TAB_7[W_NQTRI_COUNT])</totalsRowFormula>
    </tableColumn>
    <tableColumn id="6" uniqueName="6" name="W_QTRI_TOT_COUNT" totalsRowFunction="custom" queryTableFieldId="6" headerRowDxfId="2171" dataDxfId="2170" totalsRowDxfId="2169" headerRowCellStyle="TXT2" dataCellStyle="Total1">
      <totalsRowFormula>SUM(Table_Default__XLS_TAB_7[W_QTRI_TOT_COUNT])</totalsRowFormula>
    </tableColumn>
  </tableColumns>
  <tableStyleInfo name="VITAL" showFirstColumn="0" showLastColumn="0" showRowStripes="1" showColumnStripes="0"/>
</table>
</file>

<file path=xl/tables/table30.xml><?xml version="1.0" encoding="utf-8"?>
<table xmlns="http://schemas.openxmlformats.org/spreadsheetml/2006/main" id="31" name="Table_Default__XLS_TAB_18_3" displayName="Table_Default__XLS_TAB_18_3" ref="A9:N23" tableType="queryTable" headerRowCount="0" totalsRowCount="1" dataDxfId="1276" totalsRowDxfId="1275" totalsRowBorderDxfId="1274" dataCellStyle="Normal 2">
  <tableColumns count="14">
    <tableColumn id="1" uniqueName="1" name="AGE_LEVEL_HUSBD_ARB" totalsRowLabel="المجموع" queryTableFieldId="1" headerRowDxfId="1273" dataDxfId="1272" totalsRowDxfId="1271" headerRowCellStyle="Normal 2" dataCellStyle="Normal 2"/>
    <tableColumn id="2" uniqueName="2" name="AGE_LEVEL_LESS_20" totalsRowFunction="sum" queryTableFieldId="2" headerRowDxfId="1270" dataDxfId="1269" totalsRowDxfId="1268" headerRowCellStyle="Normal 2" dataCellStyle="Normal 2"/>
    <tableColumn id="3" uniqueName="3" name="AGE_LEVEL_20_24" totalsRowFunction="sum" queryTableFieldId="3" headerRowDxfId="1267" dataDxfId="1266" totalsRowDxfId="1265" headerRowCellStyle="Normal 2" dataCellStyle="Normal 2"/>
    <tableColumn id="4" uniqueName="4" name="AGE_LEVEL_25_29" totalsRowFunction="sum" queryTableFieldId="4" headerRowDxfId="1264" dataDxfId="1263" totalsRowDxfId="1262" headerRowCellStyle="Normal 2" dataCellStyle="Normal 2"/>
    <tableColumn id="5" uniqueName="5" name="AGE_LEVEL_30_34" totalsRowFunction="sum" queryTableFieldId="5" headerRowDxfId="1261" dataDxfId="1260" totalsRowDxfId="1259" headerRowCellStyle="Normal 2" dataCellStyle="Normal 2"/>
    <tableColumn id="6" uniqueName="6" name="AGE_LEVEL_35_39" totalsRowFunction="sum" queryTableFieldId="6" headerRowDxfId="1258" dataDxfId="1257" totalsRowDxfId="1256" headerRowCellStyle="Normal 2" dataCellStyle="Normal 2"/>
    <tableColumn id="7" uniqueName="7" name="AGE_LEVEL_40_44" totalsRowFunction="sum" queryTableFieldId="7" headerRowDxfId="1255" dataDxfId="1254" totalsRowDxfId="1253" headerRowCellStyle="Normal 2" dataCellStyle="Normal 2"/>
    <tableColumn id="8" uniqueName="8" name="AGE_LEVEL_45_49" totalsRowFunction="sum" queryTableFieldId="8" headerRowDxfId="1252" dataDxfId="1251" totalsRowDxfId="1250" headerRowCellStyle="Normal 2" dataCellStyle="Normal 2"/>
    <tableColumn id="9" uniqueName="9" name="AGE_LEVEL_50_54" totalsRowFunction="sum" queryTableFieldId="9" headerRowDxfId="1249" dataDxfId="1248" totalsRowDxfId="1247" headerRowCellStyle="Normal 2" dataCellStyle="Normal 2"/>
    <tableColumn id="10" uniqueName="10" name="AGE_LEVEL_55_59" totalsRowFunction="sum" queryTableFieldId="10" headerRowDxfId="1246" dataDxfId="1245" totalsRowDxfId="1244" headerRowCellStyle="Normal 2" dataCellStyle="Normal 2"/>
    <tableColumn id="11" uniqueName="11" name="AGE_LEVEL_UP_60" totalsRowFunction="sum" queryTableFieldId="11" headerRowDxfId="1243" dataDxfId="1242" totalsRowDxfId="1241" headerRowCellStyle="Normal 2" dataCellStyle="Normal 2"/>
    <tableColumn id="12" uniqueName="12" name="AGE_LEVEL_NOT_STATED" totalsRowFunction="sum" queryTableFieldId="12" headerRowDxfId="1240" dataDxfId="1239" totalsRowDxfId="1238" headerRowCellStyle="Normal 2" dataCellStyle="Normal 2"/>
    <tableColumn id="13" uniqueName="13" name="TOTAL" totalsRowFunction="sum" queryTableFieldId="13" headerRowDxfId="1237" dataDxfId="1236" totalsRowDxfId="1235" headerRowCellStyle="Normal 2" dataCellStyle="Normal 2"/>
    <tableColumn id="14" uniqueName="14" name="AGE_LEVEL_HUSBD_ENG" totalsRowLabel="Total" queryTableFieldId="14" headerRowDxfId="1234" dataDxfId="1233" totalsRowDxfId="1232" headerRowCellStyle="Normal 2" dataCellStyle="Normal 2"/>
  </tableColumns>
  <tableStyleInfo name="VITAL" showFirstColumn="0" showLastColumn="0" showRowStripes="1" showColumnStripes="0"/>
</table>
</file>

<file path=xl/tables/table31.xml><?xml version="1.0" encoding="utf-8"?>
<table xmlns="http://schemas.openxmlformats.org/spreadsheetml/2006/main" id="28" name="Table_Default__XLS_TAB_19" displayName="Table_Default__XLS_TAB_19" ref="C8:J15" tableType="queryTable" headerRowCount="0" totalsRowShown="0" headerRowDxfId="1231" dataDxfId="1230">
  <tableColumns count="8">
    <tableColumn id="1" uniqueName="1" name="CNT_0" queryTableFieldId="1" headerRowDxfId="1229" dataDxfId="1228" headerRowCellStyle="Normal 2" dataCellStyle="Normal 2"/>
    <tableColumn id="2" uniqueName="2" name="CNT_1" queryTableFieldId="2" headerRowDxfId="1227" dataDxfId="1226" headerRowCellStyle="Normal 2" dataCellStyle="Normal 2"/>
    <tableColumn id="3" uniqueName="3" name="CNT_2" queryTableFieldId="3" headerRowDxfId="1225" dataDxfId="1224" headerRowCellStyle="Normal 2" dataCellStyle="Normal 2"/>
    <tableColumn id="4" uniqueName="4" name="CNT_3" queryTableFieldId="4" headerRowDxfId="1223" dataDxfId="1222" headerRowCellStyle="Normal 2" dataCellStyle="Normal 2"/>
    <tableColumn id="5" uniqueName="5" name="CNT_4" queryTableFieldId="5" headerRowDxfId="1221" dataDxfId="1220" headerRowCellStyle="Normal 2" dataCellStyle="Normal 2"/>
    <tableColumn id="6" uniqueName="6" name="CNT_5" queryTableFieldId="6" headerRowDxfId="1219" dataDxfId="1218" headerRowCellStyle="Normal 2" dataCellStyle="Normal 2"/>
    <tableColumn id="7" uniqueName="7" name="CNT_6" queryTableFieldId="7" headerRowDxfId="1217" dataDxfId="1216" headerRowCellStyle="Normal 2" dataCellStyle="Normal 2"/>
    <tableColumn id="8" uniqueName="8" name="NOT_STATED" queryTableFieldId="8" headerRowDxfId="1215" dataDxfId="1214" headerRowCellStyle="Normal 2" dataCellStyle="Normal 2"/>
  </tableColumns>
  <tableStyleInfo name="VITAL" showFirstColumn="0" showLastColumn="0" showRowStripes="1" showColumnStripes="0"/>
</table>
</file>

<file path=xl/tables/table32.xml><?xml version="1.0" encoding="utf-8"?>
<table xmlns="http://schemas.openxmlformats.org/spreadsheetml/2006/main" id="32" name="Table_Default__XLS_TAB_20" displayName="Table_Default__XLS_TAB_20" ref="C8:J15" tableType="queryTable" headerRowCount="0" totalsRowShown="0" headerRowDxfId="1213" dataDxfId="1212" tableBorderDxfId="1211" headerRowCellStyle="Normal 2" dataCellStyle="Normal 2">
  <tableColumns count="8">
    <tableColumn id="1" uniqueName="1" name="CNT_0" queryTableFieldId="1" headerRowDxfId="1210" dataDxfId="1209" headerRowCellStyle="Normal 2" dataCellStyle="Normal 2"/>
    <tableColumn id="2" uniqueName="2" name="CNT_1" queryTableFieldId="2" headerRowDxfId="1208" dataDxfId="1207" headerRowCellStyle="Normal 2" dataCellStyle="Normal 2"/>
    <tableColumn id="3" uniqueName="3" name="CNT_2" queryTableFieldId="3" headerRowDxfId="1206" dataDxfId="1205" headerRowCellStyle="Normal 2" dataCellStyle="Normal 2"/>
    <tableColumn id="4" uniqueName="4" name="CNT_3" queryTableFieldId="4" headerRowDxfId="1204" dataDxfId="1203" headerRowCellStyle="Normal 2" dataCellStyle="Normal 2"/>
    <tableColumn id="5" uniqueName="5" name="CNT_4" queryTableFieldId="5" headerRowDxfId="1202" dataDxfId="1201" headerRowCellStyle="Normal 2" dataCellStyle="Normal 2"/>
    <tableColumn id="6" uniqueName="6" name="CNT_5" queryTableFieldId="6" headerRowDxfId="1200" dataDxfId="1199" headerRowCellStyle="Normal 2" dataCellStyle="Normal 2"/>
    <tableColumn id="7" uniqueName="7" name="CNT_6" queryTableFieldId="7" headerRowDxfId="1198" dataDxfId="1197" headerRowCellStyle="Normal 2" dataCellStyle="Normal 2"/>
    <tableColumn id="8" uniqueName="8" name="NOT_STATED" queryTableFieldId="8" headerRowDxfId="1196" dataDxfId="1195" headerRowCellStyle="Normal 2" dataCellStyle="Normal 2"/>
  </tableColumns>
  <tableStyleInfo name="VITAL" showFirstColumn="0" showLastColumn="0" showRowStripes="1" showColumnStripes="0"/>
</table>
</file>

<file path=xl/tables/table33.xml><?xml version="1.0" encoding="utf-8"?>
<table xmlns="http://schemas.openxmlformats.org/spreadsheetml/2006/main" id="34" name="Table_Default__XLS_TAB_23" displayName="Table_Default__XLS_TAB_23" ref="B8:G19" tableType="queryTable" headerRowCount="0" totalsRowShown="0" headerRowDxfId="1194" dataDxfId="1193" tableBorderDxfId="1192" headerRowCellStyle="Normal 2" dataCellStyle="TXT2">
  <tableColumns count="6">
    <tableColumn id="1" uniqueName="1" name="M_QTRI_COUNT" queryTableFieldId="1" headerRowDxfId="1191" dataDxfId="1190" headerRowCellStyle="Normal 2" dataCellStyle="TXT2"/>
    <tableColumn id="2" uniqueName="2" name="M_NQTRI_COUNT" queryTableFieldId="2" headerRowDxfId="1189" dataDxfId="1188" headerRowCellStyle="Normal 2" dataCellStyle="TXT2"/>
    <tableColumn id="3" uniqueName="3" name="M_QTRI_TOT_COUNT" queryTableFieldId="3" headerRowDxfId="1187" dataDxfId="1186" headerRowCellStyle="Normal 2" dataCellStyle="Total1"/>
    <tableColumn id="4" uniqueName="4" name="W_QTRI_COUNT" queryTableFieldId="4" headerRowDxfId="1185" dataDxfId="1184" headerRowCellStyle="Normal 2" dataCellStyle="TXT2"/>
    <tableColumn id="5" uniqueName="5" name="W_NQTRI_COUNT" queryTableFieldId="5" headerRowDxfId="1183" dataDxfId="1182" headerRowCellStyle="Normal 2" dataCellStyle="TXT2"/>
    <tableColumn id="6" uniqueName="6" name="W_QTRI_TOT_COUNT" queryTableFieldId="6" headerRowDxfId="1181" dataDxfId="1180" headerRowCellStyle="Normal 2" dataCellStyle="Total1"/>
  </tableColumns>
  <tableStyleInfo name="VITAL" showFirstColumn="0" showLastColumn="0" showRowStripes="1" showColumnStripes="0"/>
</table>
</file>

<file path=xl/tables/table34.xml><?xml version="1.0" encoding="utf-8"?>
<table xmlns="http://schemas.openxmlformats.org/spreadsheetml/2006/main" id="35" name="Table_Default__XLS_TAB_24" displayName="Table_Default__XLS_TAB_24" ref="B8:G13" tableType="queryTable" headerRowCount="0" totalsRowShown="0" headerRowDxfId="1179" dataDxfId="1178" tableBorderDxfId="1177" headerRowCellStyle="Normal 2" dataCellStyle="TXT2">
  <tableColumns count="6">
    <tableColumn id="1" uniqueName="1" name="BAAN_SMALLERQATAR" queryTableFieldId="1" headerRowDxfId="1176" dataDxfId="1175" headerRowCellStyle="Normal 2" dataCellStyle="TXT2"/>
    <tableColumn id="2" uniqueName="2" name="RAJEE" queryTableFieldId="2" headerRowDxfId="1174" dataDxfId="1173" headerRowCellStyle="Normal 2" dataCellStyle="TXT2"/>
    <tableColumn id="3" uniqueName="3" name="KHULLA" queryTableFieldId="3" headerRowDxfId="1172" dataDxfId="1171" headerRowCellStyle="Normal 2" dataCellStyle="TXT2"/>
    <tableColumn id="4" uniqueName="4" name="BAAN_GREATER" queryTableFieldId="4" headerRowDxfId="1170" dataDxfId="1169" headerRowCellStyle="Normal 2" dataCellStyle="TXT2"/>
    <tableColumn id="6" uniqueName="6" name="Column1" queryTableFieldId="6" headerRowDxfId="1168" dataDxfId="1167" headerRowCellStyle="Normal 2" dataCellStyle="TXT2"/>
    <tableColumn id="5" uniqueName="5" name="TOTAL" queryTableFieldId="5" headerRowDxfId="1166" dataDxfId="1165" headerRowCellStyle="Normal 2" dataCellStyle="TXT2"/>
  </tableColumns>
  <tableStyleInfo name="VITAL" showFirstColumn="0" showLastColumn="0" showRowStripes="1" showColumnStripes="0"/>
</table>
</file>

<file path=xl/tables/table35.xml><?xml version="1.0" encoding="utf-8"?>
<table xmlns="http://schemas.openxmlformats.org/spreadsheetml/2006/main" id="36" name="Table_Default__XLS_TAB_25_1" displayName="Table_Default__XLS_TAB_25_1" ref="B9:G22" tableType="queryTable" headerRowCount="0" totalsRowShown="0" headerRowDxfId="1164" dataDxfId="1163" tableBorderDxfId="1162" headerRowCellStyle="Normal 2" dataCellStyle="TXT2">
  <tableColumns count="6">
    <tableColumn id="1" uniqueName="1" name="BAAN_SMALLERQATAR" queryTableFieldId="1" headerRowDxfId="1161" dataDxfId="1160" headerRowCellStyle="Normal 2" dataCellStyle="TXT2"/>
    <tableColumn id="2" uniqueName="2" name="RAJEE" queryTableFieldId="2" headerRowDxfId="1159" dataDxfId="1158" headerRowCellStyle="Normal 2" dataCellStyle="TXT2"/>
    <tableColumn id="3" uniqueName="3" name="KHULLA" queryTableFieldId="3" headerRowDxfId="1157" dataDxfId="1156" headerRowCellStyle="Normal 2" dataCellStyle="TXT2"/>
    <tableColumn id="4" uniqueName="4" name="BAAN_GREATER" queryTableFieldId="4" headerRowDxfId="1155" dataDxfId="1154" headerRowCellStyle="Normal 2" dataCellStyle="TXT2"/>
    <tableColumn id="6" uniqueName="6" name="Column1" queryTableFieldId="6" headerRowDxfId="1153" dataDxfId="1152" headerRowCellStyle="Normal 2" dataCellStyle="TXT2"/>
    <tableColumn id="5" uniqueName="5" name="TOTAL" queryTableFieldId="5" headerRowDxfId="1151" dataDxfId="1150" headerRowCellStyle="Normal 2" dataCellStyle="TXT2"/>
  </tableColumns>
  <tableStyleInfo name="VITAL" showFirstColumn="0" showLastColumn="0" showRowStripes="1" showColumnStripes="0"/>
</table>
</file>

<file path=xl/tables/table36.xml><?xml version="1.0" encoding="utf-8"?>
<table xmlns="http://schemas.openxmlformats.org/spreadsheetml/2006/main" id="37" name="Table_Default__XLS_TAB_25_2" displayName="Table_Default__XLS_TAB_25_2" ref="B9:G22" tableType="queryTable" headerRowCount="0" totalsRowShown="0" headerRowDxfId="1149" dataDxfId="1148" tableBorderDxfId="1147" headerRowCellStyle="Normal 2" dataCellStyle="TXT2">
  <tableColumns count="6">
    <tableColumn id="1" uniqueName="1" name="BAAN_SMALLERQATAR" queryTableFieldId="1" headerRowDxfId="1146" dataDxfId="1145" headerRowCellStyle="Normal 2" dataCellStyle="TXT2"/>
    <tableColumn id="2" uniqueName="2" name="RAJEE" queryTableFieldId="2" headerRowDxfId="1144" dataDxfId="1143" headerRowCellStyle="Normal 2" dataCellStyle="TXT2"/>
    <tableColumn id="3" uniqueName="3" name="KHULLA" queryTableFieldId="3" headerRowDxfId="1142" dataDxfId="1141" headerRowCellStyle="Normal 2" dataCellStyle="TXT2"/>
    <tableColumn id="4" uniqueName="4" name="BAAN_GREATER" queryTableFieldId="4" headerRowDxfId="1140" dataDxfId="1139" headerRowCellStyle="Normal 2" dataCellStyle="TXT2"/>
    <tableColumn id="6" uniqueName="6" name="Column1" queryTableFieldId="6" headerRowDxfId="1138" dataDxfId="1137" headerRowCellStyle="Normal 2" dataCellStyle="TXT2"/>
    <tableColumn id="5" uniqueName="5" name="TOTAL" queryTableFieldId="5" headerRowDxfId="1136" dataDxfId="1135" headerRowCellStyle="Normal 2" dataCellStyle="TXT2"/>
  </tableColumns>
  <tableStyleInfo name="VITAL" showFirstColumn="0" showLastColumn="0" showRowStripes="1" showColumnStripes="0"/>
</table>
</file>

<file path=xl/tables/table37.xml><?xml version="1.0" encoding="utf-8"?>
<table xmlns="http://schemas.openxmlformats.org/spreadsheetml/2006/main" id="38" name="Table_Default__XLS_TAB_25_3" displayName="Table_Default__XLS_TAB_25_3" ref="B9:G22" tableType="queryTable" headerRowCount="0" totalsRowShown="0" headerRowDxfId="1134" dataDxfId="1133" tableBorderDxfId="1132" headerRowCellStyle="Normal 2" dataCellStyle="TXT2">
  <tableColumns count="6">
    <tableColumn id="1" uniqueName="1" name="BAAN_SMALLERQATAR" queryTableFieldId="1" headerRowDxfId="1131" dataDxfId="1130" headerRowCellStyle="Normal 2" dataCellStyle="TXT2"/>
    <tableColumn id="2" uniqueName="2" name="RAJEE" queryTableFieldId="2" headerRowDxfId="1129" dataDxfId="1128" headerRowCellStyle="Normal 2" dataCellStyle="TXT2"/>
    <tableColumn id="3" uniqueName="3" name="KHULLA" queryTableFieldId="3" headerRowDxfId="1127" dataDxfId="1126" headerRowCellStyle="Normal 2" dataCellStyle="TXT2"/>
    <tableColumn id="4" uniqueName="4" name="BAAN_GREATER" queryTableFieldId="4" headerRowDxfId="1125" dataDxfId="1124" headerRowCellStyle="Normal 2" dataCellStyle="TXT2"/>
    <tableColumn id="6" uniqueName="6" name="Column1" queryTableFieldId="6" headerRowDxfId="1123" dataDxfId="1122" headerRowCellStyle="Normal 2" dataCellStyle="TXT2"/>
    <tableColumn id="5" uniqueName="5" name="TOTAL" queryTableFieldId="5" headerRowDxfId="1121" dataDxfId="1120" headerRowCellStyle="Normal 2" dataCellStyle="TXT2"/>
  </tableColumns>
  <tableStyleInfo name="VITAL" showFirstColumn="0" showLastColumn="0" showRowStripes="1" showColumnStripes="0"/>
</table>
</file>

<file path=xl/tables/table38.xml><?xml version="1.0" encoding="utf-8"?>
<table xmlns="http://schemas.openxmlformats.org/spreadsheetml/2006/main" id="86" name="Table_Default__XLS_TAB_26_287" displayName="Table_Default__XLS_TAB_26_287" ref="B9:G19" tableType="queryTable" headerRowCount="0" totalsRowShown="0" headerRowDxfId="1119" dataDxfId="1118" tableBorderDxfId="1117" headerRowCellStyle="Normal 2" dataCellStyle="TXT2">
  <tableColumns count="6">
    <tableColumn id="1" uniqueName="1" name="BAAN_SMALLERQATAR" queryTableFieldId="1" headerRowDxfId="1116" dataDxfId="1115" headerRowCellStyle="Normal 2" dataCellStyle="TXT2"/>
    <tableColumn id="2" uniqueName="2" name="RAJEE" queryTableFieldId="2" headerRowDxfId="1114" dataDxfId="1113" headerRowCellStyle="Normal 2" dataCellStyle="TXT2"/>
    <tableColumn id="3" uniqueName="3" name="KHULLA" queryTableFieldId="3" headerRowDxfId="1112" dataDxfId="1111" headerRowCellStyle="Normal 2" dataCellStyle="TXT2"/>
    <tableColumn id="4" uniqueName="4" name="BAAN_GREATER" queryTableFieldId="4" headerRowDxfId="1110" dataDxfId="1109" headerRowCellStyle="Normal 2" dataCellStyle="TXT2"/>
    <tableColumn id="6" uniqueName="6" name="Column1" queryTableFieldId="6" headerRowDxfId="1108" dataDxfId="1107" headerRowCellStyle="Normal 2" dataCellStyle="TXT2"/>
    <tableColumn id="5" uniqueName="5" name="TOTAL" queryTableFieldId="5" headerRowDxfId="1106" dataDxfId="1105" headerRowCellStyle="Normal 2" dataCellStyle="TXT2"/>
  </tableColumns>
  <tableStyleInfo name="VITAL" showFirstColumn="0" showLastColumn="0" showRowStripes="1" showColumnStripes="0"/>
</table>
</file>

<file path=xl/tables/table39.xml><?xml version="1.0" encoding="utf-8"?>
<table xmlns="http://schemas.openxmlformats.org/spreadsheetml/2006/main" id="40" name="Table_Default__XLS_TAB_26_2" displayName="Table_Default__XLS_TAB_26_2" ref="B9:G19" tableType="queryTable" headerRowCount="0" totalsRowShown="0" headerRowDxfId="1104" dataDxfId="1103" tableBorderDxfId="1102" headerRowCellStyle="Normal 2" dataCellStyle="TXT2">
  <tableColumns count="6">
    <tableColumn id="1" uniqueName="1" name="BAAN_SMALLERQATAR" queryTableFieldId="1" headerRowDxfId="1101" dataDxfId="1100" headerRowCellStyle="Normal 2" dataCellStyle="TXT2"/>
    <tableColumn id="2" uniqueName="2" name="RAJEE" queryTableFieldId="2" headerRowDxfId="1099" dataDxfId="1098" headerRowCellStyle="Normal 2" dataCellStyle="TXT2"/>
    <tableColumn id="3" uniqueName="3" name="KHULLA" queryTableFieldId="3" headerRowDxfId="1097" dataDxfId="1096" headerRowCellStyle="Normal 2" dataCellStyle="TXT2"/>
    <tableColumn id="4" uniqueName="4" name="BAAN_GREATER" queryTableFieldId="4" headerRowDxfId="1095" dataDxfId="1094" headerRowCellStyle="Normal 2" dataCellStyle="TXT2"/>
    <tableColumn id="6" uniqueName="6" name="Column1" queryTableFieldId="6" headerRowDxfId="1093" dataDxfId="1092" headerRowCellStyle="Normal 2" dataCellStyle="TXT2"/>
    <tableColumn id="5" uniqueName="5" name="TOTAL" queryTableFieldId="5" headerRowDxfId="1091" dataDxfId="1090" headerRowCellStyle="Normal 2" dataCellStyle="TXT2"/>
  </tableColumns>
  <tableStyleInfo name="VITAL" showFirstColumn="0" showLastColumn="0" showRowStripes="1" showColumnStripes="0"/>
</table>
</file>

<file path=xl/tables/table4.xml><?xml version="1.0" encoding="utf-8"?>
<table xmlns="http://schemas.openxmlformats.org/spreadsheetml/2006/main" id="2" name="Table_Default__XLS_TAB_8" displayName="Table_Default__XLS_TAB_8" ref="B8:H13" tableType="queryTable" headerRowCount="0" totalsRowShown="0" headerRowDxfId="2168" dataDxfId="2167" tableBorderDxfId="2166" headerRowCellStyle="Normal 2" dataCellStyle="Normal 2">
  <tableColumns count="7">
    <tableColumn id="1" uniqueName="1" name="QATAR" queryTableFieldId="1" headerRowDxfId="2165" dataDxfId="2164" headerRowCellStyle="Normal 2" dataCellStyle="Normal 2"/>
    <tableColumn id="2" uniqueName="2" name="OTHER_G_C_C_COUNTRIES" queryTableFieldId="2" headerRowDxfId="2163" dataDxfId="2162" headerRowCellStyle="Normal 2" dataCellStyle="Normal 2"/>
    <tableColumn id="3" uniqueName="3" name="OTHER_ARAB_COUNTRIES" queryTableFieldId="3" headerRowDxfId="2161" dataDxfId="2160" headerRowCellStyle="Normal 2" dataCellStyle="Normal 2"/>
    <tableColumn id="4" uniqueName="4" name="ASIAN_COUNTRIES" queryTableFieldId="4" headerRowDxfId="2159" dataDxfId="2158" headerRowCellStyle="Normal 2" dataCellStyle="Normal 2"/>
    <tableColumn id="5" uniqueName="5" name="EUROPEAN_COUNTRIES" queryTableFieldId="5" headerRowDxfId="2157" dataDxfId="2156" headerRowCellStyle="Normal 2" dataCellStyle="Normal 2"/>
    <tableColumn id="6" uniqueName="6" name="OTHER_COUNTRIES" queryTableFieldId="6" headerRowDxfId="2155" dataDxfId="2154" headerRowCellStyle="Normal 2" dataCellStyle="Normal 2"/>
    <tableColumn id="7" uniqueName="7" name="TOTAL" queryTableFieldId="7" headerRowDxfId="2153" dataDxfId="2152" headerRowCellStyle="Normal 2" dataCellStyle="Normal 2"/>
  </tableColumns>
  <tableStyleInfo name="VITAL" showFirstColumn="0" showLastColumn="0" showRowStripes="1" showColumnStripes="0"/>
</table>
</file>

<file path=xl/tables/table40.xml><?xml version="1.0" encoding="utf-8"?>
<table xmlns="http://schemas.openxmlformats.org/spreadsheetml/2006/main" id="39" name="Table_Default__XLS_TAB_26_240" displayName="Table_Default__XLS_TAB_26_240" ref="B9:G19" tableType="queryTable" headerRowCount="0" totalsRowShown="0" headerRowDxfId="1089" dataDxfId="1088" tableBorderDxfId="1087" headerRowCellStyle="Normal 2" dataCellStyle="TXT2">
  <tableColumns count="6">
    <tableColumn id="1" uniqueName="1" name="BAAN_SMALLERQATAR" queryTableFieldId="1" headerRowDxfId="1086" dataDxfId="1085" headerRowCellStyle="Normal 2" dataCellStyle="TXT2"/>
    <tableColumn id="2" uniqueName="2" name="RAJEE" queryTableFieldId="2" headerRowDxfId="1084" dataDxfId="1083" headerRowCellStyle="Normal 2" dataCellStyle="TXT2"/>
    <tableColumn id="3" uniqueName="3" name="KHULLA" queryTableFieldId="3" headerRowDxfId="1082" dataDxfId="1081" headerRowCellStyle="Normal 2" dataCellStyle="TXT2"/>
    <tableColumn id="4" uniqueName="4" name="BAAN_GREATER" queryTableFieldId="4" headerRowDxfId="1080" dataDxfId="1079" headerRowCellStyle="Normal 2" dataCellStyle="TXT2"/>
    <tableColumn id="6" uniqueName="6" name="Column1" queryTableFieldId="6" headerRowDxfId="1078" dataDxfId="1077" headerRowCellStyle="Normal 2" dataCellStyle="TXT2"/>
    <tableColumn id="5" uniqueName="5" name="TOTAL" queryTableFieldId="5" headerRowDxfId="1076" dataDxfId="1075" headerRowCellStyle="Normal 2" dataCellStyle="TXT2"/>
  </tableColumns>
  <tableStyleInfo name="VITAL" showFirstColumn="0" showLastColumn="0" showRowStripes="1" showColumnStripes="0"/>
</table>
</file>

<file path=xl/tables/table41.xml><?xml version="1.0" encoding="utf-8"?>
<table xmlns="http://schemas.openxmlformats.org/spreadsheetml/2006/main" id="82" name="Table_Default__XLS_TAB_27_283" displayName="Table_Default__XLS_TAB_27_283" ref="C8:H18" tableType="queryTable" headerRowCount="0" totalsRowShown="0" headerRowDxfId="1074" dataDxfId="1073" tableBorderDxfId="1072" headerRowCellStyle="Normal 2">
  <tableColumns count="6">
    <tableColumn id="1" uniqueName="1" name="BAAN_SMALLER_CNT" queryTableFieldId="1" headerRowDxfId="1071" dataDxfId="1070" headerRowCellStyle="Normal 2" dataCellStyle="Normal 2"/>
    <tableColumn id="2" uniqueName="2" name="RAJEE_CNT" queryTableFieldId="2" headerRowDxfId="1069" dataDxfId="1068" headerRowCellStyle="Normal 2" dataCellStyle="Normal 2"/>
    <tableColumn id="3" uniqueName="3" name="KHULLA_CNT" queryTableFieldId="3" headerRowDxfId="1067" dataDxfId="1066" headerRowCellStyle="Normal 2" dataCellStyle="Normal 2"/>
    <tableColumn id="4" uniqueName="4" name="BAAN_GREATER_CNT" queryTableFieldId="4" headerRowDxfId="1065" dataDxfId="1064" headerRowCellStyle="Normal 2" dataCellStyle="Normal 2"/>
    <tableColumn id="6" uniqueName="6" name="Column1" queryTableFieldId="6" headerRowDxfId="1063" dataDxfId="1062" headerRowCellStyle="Normal 2" dataCellStyle="Normal 2"/>
    <tableColumn id="5" uniqueName="5" name="TOTAL" queryTableFieldId="5" headerRowDxfId="1061" dataDxfId="1060" headerRowCellStyle="Normal 2" dataCellStyle="Normal 2"/>
  </tableColumns>
  <tableStyleInfo name="VITAL" showFirstColumn="0" showLastColumn="0" showRowStripes="1" showColumnStripes="0"/>
</table>
</file>

<file path=xl/tables/table42.xml><?xml version="1.0" encoding="utf-8"?>
<table xmlns="http://schemas.openxmlformats.org/spreadsheetml/2006/main" id="42" name="Table_Default__XLS_TAB_27_1" displayName="Table_Default__XLS_TAB_27_1" ref="B9:G20" tableType="queryTable" headerRowCount="0" totalsRowShown="0" headerRowDxfId="1059" dataDxfId="1058" tableBorderDxfId="1057" headerRowCellStyle="Normal 2" dataCellStyle="TXT2">
  <tableColumns count="6">
    <tableColumn id="1" uniqueName="1" name="BAAN_SMALLERQATAR" queryTableFieldId="1" headerRowDxfId="1056" dataDxfId="1055" headerRowCellStyle="Normal 2" dataCellStyle="TXT2"/>
    <tableColumn id="2" uniqueName="2" name="RAJEE" queryTableFieldId="2" headerRowDxfId="1054" dataDxfId="1053" headerRowCellStyle="Normal 2" dataCellStyle="TXT2"/>
    <tableColumn id="3" uniqueName="3" name="KHULLA" queryTableFieldId="3" headerRowDxfId="1052" dataDxfId="1051" headerRowCellStyle="Normal 2" dataCellStyle="TXT2"/>
    <tableColumn id="4" uniqueName="4" name="BAAN_GREATER" queryTableFieldId="4" headerRowDxfId="1050" dataDxfId="1049" headerRowCellStyle="Normal 2" dataCellStyle="TXT2"/>
    <tableColumn id="6" uniqueName="6" name="Column1" queryTableFieldId="6" headerRowDxfId="1048" dataDxfId="1047" headerRowCellStyle="Normal 2" dataCellStyle="TXT2"/>
    <tableColumn id="5" uniqueName="5" name="TOTAL" queryTableFieldId="5" headerRowDxfId="1046" dataDxfId="1045" headerRowCellStyle="Normal 2" dataCellStyle="TXT2"/>
  </tableColumns>
  <tableStyleInfo name="VITAL" showFirstColumn="0" showLastColumn="0" showRowStripes="1" showColumnStripes="0"/>
</table>
</file>

<file path=xl/tables/table43.xml><?xml version="1.0" encoding="utf-8"?>
<table xmlns="http://schemas.openxmlformats.org/spreadsheetml/2006/main" id="87" name="Table_Default__XLS_TAB_27_188" displayName="Table_Default__XLS_TAB_27_188" ref="B9:G20" tableType="queryTable" headerRowCount="0" totalsRowShown="0" headerRowDxfId="1044" dataDxfId="1043" tableBorderDxfId="1042" headerRowCellStyle="Normal 2" dataCellStyle="TXT2">
  <tableColumns count="6">
    <tableColumn id="1" uniqueName="1" name="BAAN_SMALLERQATAR" queryTableFieldId="1" headerRowDxfId="1041" dataDxfId="1040" headerRowCellStyle="Normal 2" dataCellStyle="TXT2"/>
    <tableColumn id="2" uniqueName="2" name="RAJEE" queryTableFieldId="2" headerRowDxfId="1039" dataDxfId="1038" headerRowCellStyle="Normal 2" dataCellStyle="TXT2"/>
    <tableColumn id="3" uniqueName="3" name="KHULLA" queryTableFieldId="3" headerRowDxfId="1037" dataDxfId="1036" headerRowCellStyle="Normal 2" dataCellStyle="TXT2"/>
    <tableColumn id="4" uniqueName="4" name="BAAN_GREATER" queryTableFieldId="4" headerRowDxfId="1035" dataDxfId="1034" headerRowCellStyle="Normal 2" dataCellStyle="TXT2"/>
    <tableColumn id="6" uniqueName="6" name="Column1" queryTableFieldId="6" headerRowDxfId="1033" dataDxfId="1032" headerRowCellStyle="Normal 2" dataCellStyle="TXT2"/>
    <tableColumn id="5" uniqueName="5" name="TOTAL" queryTableFieldId="5" headerRowDxfId="1031" dataDxfId="1030" headerRowCellStyle="Normal 2" dataCellStyle="TXT2"/>
  </tableColumns>
  <tableStyleInfo name="VITAL" showFirstColumn="0" showLastColumn="0" showRowStripes="1" showColumnStripes="0"/>
</table>
</file>

<file path=xl/tables/table44.xml><?xml version="1.0" encoding="utf-8"?>
<table xmlns="http://schemas.openxmlformats.org/spreadsheetml/2006/main" id="44" name="Table_Default__XLS_TAB_27_3" displayName="Table_Default__XLS_TAB_27_3" ref="B9:G20" tableType="queryTable" headerRowCount="0" totalsRowShown="0" headerRowDxfId="1029" dataDxfId="1028" tableBorderDxfId="1027" headerRowCellStyle="Normal 2" dataCellStyle="TXT2">
  <tableColumns count="6">
    <tableColumn id="1" uniqueName="1" name="BAAN_SMALLERQATAR" queryTableFieldId="1" headerRowDxfId="1026" dataDxfId="1025" headerRowCellStyle="Normal 2" dataCellStyle="TXT2"/>
    <tableColumn id="2" uniqueName="2" name="RAJEE" queryTableFieldId="2" headerRowDxfId="1024" dataDxfId="1023" headerRowCellStyle="Normal 2" dataCellStyle="TXT2"/>
    <tableColumn id="3" uniqueName="3" name="KHULLA" queryTableFieldId="3" headerRowDxfId="1022" dataDxfId="1021" headerRowCellStyle="Normal 2" dataCellStyle="TXT2"/>
    <tableColumn id="4" uniqueName="4" name="BAAN_GREATER" queryTableFieldId="4" headerRowDxfId="1020" dataDxfId="1019" headerRowCellStyle="Normal 2" dataCellStyle="TXT2"/>
    <tableColumn id="6" uniqueName="6" name="Column1" queryTableFieldId="6" headerRowDxfId="1018" dataDxfId="1017" headerRowCellStyle="Normal 2" dataCellStyle="TXT2"/>
    <tableColumn id="5" uniqueName="5" name="TOTAL" queryTableFieldId="5" headerRowDxfId="1016" dataDxfId="1015" headerRowCellStyle="Normal 2" dataCellStyle="TXT2"/>
  </tableColumns>
  <tableStyleInfo name="VITAL" showFirstColumn="0" showLastColumn="0" showRowStripes="1" showColumnStripes="0"/>
</table>
</file>

<file path=xl/tables/table45.xml><?xml version="1.0" encoding="utf-8"?>
<table xmlns="http://schemas.openxmlformats.org/spreadsheetml/2006/main" id="80" name="Table_Default__XLS_TAB_30_281" displayName="Table_Default__XLS_TAB_30_281" ref="A9:N20" tableType="queryTable" headerRowCount="0" totalsRowShown="0" headerRowDxfId="1014" dataDxfId="1013" tableBorderDxfId="1012" headerRowCellStyle="Normal 2" dataCellStyle="Normal 2">
  <tableColumns count="14">
    <tableColumn id="1" uniqueName="1" name="MARRD_PRD_HUSBD_ARB" queryTableFieldId="1" headerRowDxfId="1011" dataDxfId="1010" totalsRowDxfId="1009" headerRowCellStyle="Normal 2" dataCellStyle="TXT1"/>
    <tableColumn id="2" uniqueName="2" name="CAT_1_HSB_CNT" queryTableFieldId="2" headerRowDxfId="1008" dataDxfId="1007" totalsRowDxfId="1006" headerRowCellStyle="Normal 2" dataCellStyle="Normal 2"/>
    <tableColumn id="3" uniqueName="3" name="CAT_1_WFE_CNT" queryTableFieldId="3" headerRowDxfId="1005" dataDxfId="1004" totalsRowDxfId="1003" headerRowCellStyle="Normal 2" dataCellStyle="Normal 2"/>
    <tableColumn id="4" uniqueName="4" name="CAT_2_HSB_CNT" queryTableFieldId="4" headerRowDxfId="1002" dataDxfId="1001" totalsRowDxfId="1000" headerRowCellStyle="Normal 2" dataCellStyle="Normal 2"/>
    <tableColumn id="5" uniqueName="5" name="CAT_2_WFE_CNT" queryTableFieldId="5" headerRowDxfId="999" dataDxfId="998" totalsRowDxfId="997" headerRowCellStyle="Normal 2" dataCellStyle="Normal 2"/>
    <tableColumn id="6" uniqueName="6" name="CAT_3_HSB_CNT" queryTableFieldId="6" headerRowDxfId="996" dataDxfId="995" totalsRowDxfId="994" headerRowCellStyle="Normal 2" dataCellStyle="Normal 2"/>
    <tableColumn id="7" uniqueName="7" name="CAT_3_WFE_CNT" queryTableFieldId="7" headerRowDxfId="993" dataDxfId="992" totalsRowDxfId="991" headerRowCellStyle="Normal 2" dataCellStyle="Normal 2"/>
    <tableColumn id="8" uniqueName="8" name="CAT_4_HSB_CNT" queryTableFieldId="8" headerRowDxfId="990" dataDxfId="989" totalsRowDxfId="988" headerRowCellStyle="Normal 2" dataCellStyle="Normal 2"/>
    <tableColumn id="9" uniqueName="9" name="CAT_4_WFE_CNT" queryTableFieldId="9" headerRowDxfId="987" dataDxfId="986" totalsRowDxfId="985" headerRowCellStyle="Normal 2" dataCellStyle="Normal 2"/>
    <tableColumn id="10" uniqueName="10" name="TOT_HSB_CNT" queryTableFieldId="10" headerRowDxfId="984" dataDxfId="983" totalsRowDxfId="982" headerRowCellStyle="Normal 2" dataCellStyle="Normal 2"/>
    <tableColumn id="11" uniqueName="11" name="TOT_WFE_CNT" queryTableFieldId="11" headerRowDxfId="981" dataDxfId="980" totalsRowDxfId="979" headerRowCellStyle="Normal 2" dataCellStyle="Normal 2"/>
    <tableColumn id="12" uniqueName="12" name="TOT_NOTSTAT_CNT" queryTableFieldId="12" headerRowDxfId="978" dataDxfId="977" totalsRowDxfId="976" headerRowCellStyle="Normal 2" dataCellStyle="Normal 2"/>
    <tableColumn id="13" uniqueName="13" name="G_TOTAL" queryTableFieldId="13" headerRowDxfId="975" dataDxfId="974" headerRowCellStyle="Normal 2" dataCellStyle="Normal 2"/>
    <tableColumn id="14" uniqueName="14" name="MARRD_PRD_HUSBD_ENG" queryTableFieldId="14" headerRowDxfId="973" dataDxfId="972" totalsRowDxfId="971" headerRowCellStyle="Normal 2" dataCellStyle="TXT1"/>
  </tableColumns>
  <tableStyleInfo name="VITAL" showFirstColumn="0" showLastColumn="0" showRowStripes="1" showColumnStripes="0"/>
</table>
</file>

<file path=xl/tables/table46.xml><?xml version="1.0" encoding="utf-8"?>
<table xmlns="http://schemas.openxmlformats.org/spreadsheetml/2006/main" id="45" name="Table_Default__XLS_TAB_28_1" displayName="Table_Default__XLS_TAB_28_1" ref="B9:G20" tableType="queryTable" headerRowCount="0" totalsRowShown="0" headerRowDxfId="970" dataDxfId="969" tableBorderDxfId="968" headerRowCellStyle="Normal 2" dataCellStyle="TXT2">
  <tableColumns count="6">
    <tableColumn id="1" uniqueName="1" name="BAAN_SMALLERQATAR" queryTableFieldId="1" headerRowDxfId="967" dataDxfId="966" headerRowCellStyle="Normal 2" dataCellStyle="TXT2"/>
    <tableColumn id="2" uniqueName="2" name="RAJEE" queryTableFieldId="2" headerRowDxfId="965" dataDxfId="964" headerRowCellStyle="Normal 2" dataCellStyle="TXT2"/>
    <tableColumn id="3" uniqueName="3" name="KHULLA" queryTableFieldId="3" headerRowDxfId="963" dataDxfId="962" headerRowCellStyle="Normal 2" dataCellStyle="TXT2"/>
    <tableColumn id="4" uniqueName="4" name="BAAN_GREATER" queryTableFieldId="4" headerRowDxfId="961" dataDxfId="960" headerRowCellStyle="Normal 2" dataCellStyle="TXT2"/>
    <tableColumn id="6" uniqueName="6" name="Column1" queryTableFieldId="6" headerRowDxfId="959" dataDxfId="958" headerRowCellStyle="Normal 2" dataCellStyle="TXT2"/>
    <tableColumn id="5" uniqueName="5" name="TOTAL" queryTableFieldId="5" headerRowDxfId="957" dataDxfId="956" headerRowCellStyle="Normal 2" dataCellStyle="TXT2"/>
  </tableColumns>
  <tableStyleInfo name="VITAL" showFirstColumn="0" showLastColumn="0" showRowStripes="1" showColumnStripes="0"/>
</table>
</file>

<file path=xl/tables/table47.xml><?xml version="1.0" encoding="utf-8"?>
<table xmlns="http://schemas.openxmlformats.org/spreadsheetml/2006/main" id="85" name="Table_Default__XLS_TAB_28_186" displayName="Table_Default__XLS_TAB_28_186" ref="B9:G20" tableType="queryTable" headerRowCount="0" totalsRowShown="0" headerRowDxfId="955" dataDxfId="954" tableBorderDxfId="953" headerRowCellStyle="Normal 2" dataCellStyle="TXT2">
  <tableColumns count="6">
    <tableColumn id="1" uniqueName="1" name="BAAN_SMALLERQATAR" queryTableFieldId="1" headerRowDxfId="952" dataDxfId="951" headerRowCellStyle="Normal 2" dataCellStyle="TXT2"/>
    <tableColumn id="2" uniqueName="2" name="RAJEE" queryTableFieldId="2" headerRowDxfId="950" dataDxfId="949" headerRowCellStyle="Normal 2" dataCellStyle="TXT2"/>
    <tableColumn id="3" uniqueName="3" name="KHULLA" queryTableFieldId="3" headerRowDxfId="948" dataDxfId="947" headerRowCellStyle="Normal 2" dataCellStyle="TXT2"/>
    <tableColumn id="4" uniqueName="4" name="BAAN_GREATER" queryTableFieldId="4" headerRowDxfId="946" dataDxfId="945" headerRowCellStyle="Normal 2" dataCellStyle="TXT2"/>
    <tableColumn id="6" uniqueName="6" name="Column1" queryTableFieldId="6" headerRowDxfId="944" dataDxfId="943" headerRowCellStyle="Normal 2" dataCellStyle="TXT2"/>
    <tableColumn id="5" uniqueName="5" name="TOTAL" queryTableFieldId="5" headerRowDxfId="942" dataDxfId="941" headerRowCellStyle="Normal 2" dataCellStyle="TXT2"/>
  </tableColumns>
  <tableStyleInfo name="VITAL" showFirstColumn="0" showLastColumn="0" showRowStripes="1" showColumnStripes="0"/>
</table>
</file>

<file path=xl/tables/table48.xml><?xml version="1.0" encoding="utf-8"?>
<table xmlns="http://schemas.openxmlformats.org/spreadsheetml/2006/main" id="47" name="Table_Default__XLS_TAB_28_3" displayName="Table_Default__XLS_TAB_28_3" ref="B9:G20" tableType="queryTable" headerRowCount="0" totalsRowShown="0" headerRowDxfId="940" dataDxfId="939" tableBorderDxfId="938" headerRowCellStyle="Normal 2" dataCellStyle="TXT2">
  <tableColumns count="6">
    <tableColumn id="1" uniqueName="1" name="BAAN_SMALLERQATAR" queryTableFieldId="1" headerRowDxfId="937" dataDxfId="936" headerRowCellStyle="Normal 2" dataCellStyle="TXT2"/>
    <tableColumn id="2" uniqueName="2" name="RAJEE" queryTableFieldId="2" headerRowDxfId="935" dataDxfId="934" headerRowCellStyle="Normal 2" dataCellStyle="TXT2"/>
    <tableColumn id="3" uniqueName="3" name="KHULLA" queryTableFieldId="3" headerRowDxfId="933" dataDxfId="932" headerRowCellStyle="Normal 2" dataCellStyle="TXT2"/>
    <tableColumn id="4" uniqueName="4" name="BAAN_GREATER" queryTableFieldId="4" headerRowDxfId="931" dataDxfId="930" headerRowCellStyle="Normal 2" dataCellStyle="TXT2"/>
    <tableColumn id="6" uniqueName="6" name="Column1" queryTableFieldId="6" headerRowDxfId="929" dataDxfId="928" headerRowCellStyle="Normal 2" dataCellStyle="TXT2"/>
    <tableColumn id="5" uniqueName="5" name="TOTAL" queryTableFieldId="5" headerRowDxfId="927" dataDxfId="926" headerRowCellStyle="Normal 2" dataCellStyle="TXT2"/>
  </tableColumns>
  <tableStyleInfo name="VITAL" showFirstColumn="0" showLastColumn="0" showRowStripes="1" showColumnStripes="0"/>
</table>
</file>

<file path=xl/tables/table49.xml><?xml version="1.0" encoding="utf-8"?>
<table xmlns="http://schemas.openxmlformats.org/spreadsheetml/2006/main" id="48" name="Table_Default__XLS_TAB_29_1" displayName="Table_Default__XLS_TAB_29_1" ref="A9:O22" tableType="queryTable" headerRowCount="0" totalsRowShown="0" headerRowDxfId="925" dataDxfId="924" tableBorderDxfId="923" headerRowCellStyle="Normal 2" dataCellStyle="Normal 2">
  <tableColumns count="15">
    <tableColumn id="1" uniqueName="1" name="AGE_LEVEL_ARB" queryTableFieldId="1" headerRowDxfId="922" dataDxfId="921" headerRowCellStyle="Normal 2" dataCellStyle="TXT1"/>
    <tableColumn id="2" uniqueName="2" name="B_CONS_CNT" queryTableFieldId="2" headerRowDxfId="920" dataDxfId="919" headerRowCellStyle="Normal 2" dataCellStyle="Normal 2"/>
    <tableColumn id="3" uniqueName="3" name="BELOW_1_CNT" queryTableFieldId="3" headerRowDxfId="918" dataDxfId="917" headerRowCellStyle="Normal 2" dataCellStyle="Normal 2"/>
    <tableColumn id="4" uniqueName="4" name="CNT_1" queryTableFieldId="4" headerRowDxfId="916" dataDxfId="915" headerRowCellStyle="Normal 2" dataCellStyle="Normal 2"/>
    <tableColumn id="5" uniqueName="5" name="CNT_2" queryTableFieldId="5" headerRowDxfId="914" dataDxfId="913" headerRowCellStyle="Normal 2" dataCellStyle="Normal 2"/>
    <tableColumn id="6" uniqueName="6" name="CNT_3" queryTableFieldId="6" headerRowDxfId="912" dataDxfId="911" headerRowCellStyle="Normal 2" dataCellStyle="Normal 2"/>
    <tableColumn id="7" uniqueName="7" name="CNT_4" queryTableFieldId="7" headerRowDxfId="910" dataDxfId="909" headerRowCellStyle="Normal 2" dataCellStyle="Normal 2"/>
    <tableColumn id="8" uniqueName="8" name="CNT_5_9" queryTableFieldId="8" headerRowDxfId="908" dataDxfId="907" headerRowCellStyle="Normal 2" dataCellStyle="Normal 2"/>
    <tableColumn id="9" uniqueName="9" name="CNT_10_14" queryTableFieldId="9" headerRowDxfId="906" dataDxfId="905" headerRowCellStyle="Normal 2" dataCellStyle="Normal 2"/>
    <tableColumn id="10" uniqueName="10" name="CNT_15_19" queryTableFieldId="10" headerRowDxfId="904" dataDxfId="903" headerRowCellStyle="Normal 2" dataCellStyle="Normal 2"/>
    <tableColumn id="11" uniqueName="11" name="CNT_20_24" queryTableFieldId="11" headerRowDxfId="902" dataDxfId="901" headerRowCellStyle="Normal 2" dataCellStyle="Normal 2"/>
    <tableColumn id="12" uniqueName="12" name="CNT_UP_25" queryTableFieldId="12" headerRowDxfId="900" dataDxfId="899" headerRowCellStyle="Normal 2" dataCellStyle="Normal 2"/>
    <tableColumn id="13" uniqueName="13" name="NOT_STATED" queryTableFieldId="13" headerRowDxfId="898" dataDxfId="897" headerRowCellStyle="Normal 2" dataCellStyle="Normal 2"/>
    <tableColumn id="14" uniqueName="14" name="TOTAL" queryTableFieldId="14" headerRowDxfId="896" dataDxfId="895" headerRowCellStyle="Normal 2" dataCellStyle="TXT2"/>
    <tableColumn id="15" uniqueName="15" name="AGE_LEVEL_ENG" queryTableFieldId="15" headerRowDxfId="894" dataDxfId="893" headerRowCellStyle="Normal 2" dataCellStyle="TXT1"/>
  </tableColumns>
  <tableStyleInfo name="VITAL" showFirstColumn="0" showLastColumn="0" showRowStripes="1" showColumnStripes="0"/>
</table>
</file>

<file path=xl/tables/table5.xml><?xml version="1.0" encoding="utf-8"?>
<table xmlns="http://schemas.openxmlformats.org/spreadsheetml/2006/main" id="5" name="Table_Default__XLS_TAB_9" displayName="Table_Default__XLS_TAB_9" ref="A8:Q14" tableType="queryTable" headerRowCount="0" totalsRowCount="1" headerRowDxfId="2151" dataDxfId="2150" totalsRowDxfId="2148" tableBorderDxfId="2149" totalsRowBorderDxfId="2147">
  <tableColumns count="17">
    <tableColumn id="1" uniqueName="1" name="NAT_DESC_ARB" totalsRowLabel="المجموع" queryTableFieldId="1" headerRowDxfId="2146" dataDxfId="2145" totalsRowDxfId="2144" headerRowCellStyle="Normal 2" dataCellStyle="Normal 2"/>
    <tableColumn id="2" uniqueName="2" name="AGE_LEVEL_LESS_20" totalsRowFunction="sum" queryTableFieldId="2" headerRowDxfId="2143" dataDxfId="2142" totalsRowDxfId="2141" headerRowCellStyle="Normal 2" dataCellStyle="Normal 2"/>
    <tableColumn id="3" uniqueName="3" name="AGE_LEVEL_20_24" totalsRowFunction="sum" queryTableFieldId="3" headerRowDxfId="2140" dataDxfId="2139" totalsRowDxfId="2138" headerRowCellStyle="Normal 2" dataCellStyle="Normal 2"/>
    <tableColumn id="4" uniqueName="4" name="AGE_LEVEL_25_29" totalsRowFunction="sum" queryTableFieldId="4" headerRowDxfId="2137" dataDxfId="2136" totalsRowDxfId="2135" headerRowCellStyle="Normal 2" dataCellStyle="Normal 2"/>
    <tableColumn id="5" uniqueName="5" name="AGE_LEVEL_30_34" totalsRowFunction="sum" queryTableFieldId="5" headerRowDxfId="2134" dataDxfId="2133" totalsRowDxfId="2132" headerRowCellStyle="Normal 2" dataCellStyle="Normal 2"/>
    <tableColumn id="6" uniqueName="6" name="AGE_LEVEL_35_39" totalsRowFunction="sum" queryTableFieldId="6" headerRowDxfId="2131" dataDxfId="2130" totalsRowDxfId="2129" headerRowCellStyle="Normal 2" dataCellStyle="Normal 2"/>
    <tableColumn id="7" uniqueName="7" name="AGE_LEVEL_40_44" totalsRowFunction="sum" queryTableFieldId="7" headerRowDxfId="2128" dataDxfId="2127" totalsRowDxfId="2126" headerRowCellStyle="Normal 2" dataCellStyle="Normal 2"/>
    <tableColumn id="8" uniqueName="8" name="AGE_LEVEL_45_49" totalsRowFunction="sum" queryTableFieldId="8" headerRowDxfId="2125" dataDxfId="2124" totalsRowDxfId="2123" headerRowCellStyle="Normal 2" dataCellStyle="Normal 2"/>
    <tableColumn id="9" uniqueName="9" name="AGE_LEVEL_50_54" totalsRowFunction="sum" queryTableFieldId="9" headerRowDxfId="2122" dataDxfId="2121" totalsRowDxfId="2120" headerRowCellStyle="Normal 2" dataCellStyle="Normal 2"/>
    <tableColumn id="10" uniqueName="10" name="AGE_LEVEL_55_59" totalsRowFunction="sum" queryTableFieldId="10" headerRowDxfId="2119" dataDxfId="2118" totalsRowDxfId="2117" headerRowCellStyle="Normal 2" dataCellStyle="Normal 2"/>
    <tableColumn id="11" uniqueName="11" name="AGE_LEVEL_60_64" totalsRowFunction="sum" queryTableFieldId="11" headerRowDxfId="2116" dataDxfId="2115" totalsRowDxfId="2114" headerRowCellStyle="Normal 2" dataCellStyle="Normal 2"/>
    <tableColumn id="12" uniqueName="12" name="AGE_LEVEL_65_70" totalsRowFunction="sum" queryTableFieldId="12" headerRowDxfId="2113" dataDxfId="2112" totalsRowDxfId="2111" headerRowCellStyle="Normal 2" dataCellStyle="Normal 2"/>
    <tableColumn id="13" uniqueName="13" name="AGE_LEVEL_70_74" totalsRowFunction="sum" queryTableFieldId="13" headerRowDxfId="2110" dataDxfId="2109" totalsRowDxfId="2108" headerRowCellStyle="Normal 2" dataCellStyle="Normal 2"/>
    <tableColumn id="14" uniqueName="14" name="AGE_LEVEL_75" totalsRowFunction="sum" queryTableFieldId="14" headerRowDxfId="2107" dataDxfId="2106" totalsRowDxfId="2105" headerRowCellStyle="Normal 2" dataCellStyle="Normal 2"/>
    <tableColumn id="15" uniqueName="15" name="AGE_LEVEL_NOT_STATED" totalsRowFunction="sum" queryTableFieldId="15" headerRowDxfId="2104" dataDxfId="2103" totalsRowDxfId="2102" headerRowCellStyle="Normal 2" dataCellStyle="Normal 2"/>
    <tableColumn id="16" uniqueName="16" name="TOTAL" totalsRowFunction="sum" queryTableFieldId="16" headerRowDxfId="2101" dataDxfId="2100" totalsRowDxfId="2099" headerRowCellStyle="Normal 2" dataCellStyle="Normal 2"/>
    <tableColumn id="17" uniqueName="17" name="NAT_DESC_ENG" totalsRowLabel="Total" queryTableFieldId="17" headerRowDxfId="2098" dataDxfId="2097" totalsRowDxfId="2096" headerRowCellStyle="Normal 2" dataCellStyle="TXT1"/>
  </tableColumns>
  <tableStyleInfo name="VITAL" showFirstColumn="0" showLastColumn="0" showRowStripes="1" showColumnStripes="0"/>
</table>
</file>

<file path=xl/tables/table50.xml><?xml version="1.0" encoding="utf-8"?>
<table xmlns="http://schemas.openxmlformats.org/spreadsheetml/2006/main" id="49" name="Table_Default__XLS_TAB_29_2" displayName="Table_Default__XLS_TAB_29_2" ref="A9:O22" tableType="queryTable" headerRowCount="0" totalsRowShown="0" headerRowDxfId="892" dataDxfId="891" tableBorderDxfId="890" headerRowCellStyle="Normal 2" dataCellStyle="Normal 2">
  <tableColumns count="15">
    <tableColumn id="1" uniqueName="1" name="AGE_LEVEL_ARB" queryTableFieldId="1" headerRowDxfId="889" dataDxfId="888" headerRowCellStyle="Normal 2" dataCellStyle="TXT1"/>
    <tableColumn id="2" uniqueName="2" name="B_CONS_CNT" queryTableFieldId="2" headerRowDxfId="887" dataDxfId="886" headerRowCellStyle="Normal 2" dataCellStyle="Normal 2"/>
    <tableColumn id="3" uniqueName="3" name="BELOW_1_CNT" queryTableFieldId="3" headerRowDxfId="885" dataDxfId="884" headerRowCellStyle="Normal 2" dataCellStyle="Normal 2"/>
    <tableColumn id="4" uniqueName="4" name="CNT_1" queryTableFieldId="4" headerRowDxfId="883" dataDxfId="882" headerRowCellStyle="Normal 2" dataCellStyle="Normal 2"/>
    <tableColumn id="5" uniqueName="5" name="CNT_2" queryTableFieldId="5" headerRowDxfId="881" dataDxfId="880" headerRowCellStyle="Normal 2" dataCellStyle="Normal 2"/>
    <tableColumn id="6" uniqueName="6" name="CNT_3" queryTableFieldId="6" headerRowDxfId="879" dataDxfId="878" headerRowCellStyle="Normal 2" dataCellStyle="Normal 2"/>
    <tableColumn id="7" uniqueName="7" name="CNT_4" queryTableFieldId="7" headerRowDxfId="877" dataDxfId="876" headerRowCellStyle="Normal 2" dataCellStyle="Normal 2"/>
    <tableColumn id="8" uniqueName="8" name="CNT_5_9" queryTableFieldId="8" headerRowDxfId="875" dataDxfId="874" headerRowCellStyle="Normal 2" dataCellStyle="Normal 2"/>
    <tableColumn id="9" uniqueName="9" name="CNT_10_14" queryTableFieldId="9" headerRowDxfId="873" dataDxfId="872" headerRowCellStyle="Normal 2" dataCellStyle="Normal 2"/>
    <tableColumn id="10" uniqueName="10" name="CNT_15_19" queryTableFieldId="10" headerRowDxfId="871" dataDxfId="870" headerRowCellStyle="Normal 2" dataCellStyle="Normal 2"/>
    <tableColumn id="11" uniqueName="11" name="CNT_20_24" queryTableFieldId="11" headerRowDxfId="869" dataDxfId="868" headerRowCellStyle="Normal 2" dataCellStyle="Normal 2"/>
    <tableColumn id="12" uniqueName="12" name="CNT_UP_25" queryTableFieldId="12" headerRowDxfId="867" dataDxfId="866" headerRowCellStyle="Normal 2" dataCellStyle="Normal 2"/>
    <tableColumn id="13" uniqueName="13" name="NOT_STATED" queryTableFieldId="13" headerRowDxfId="865" dataDxfId="864" headerRowCellStyle="Normal 2" dataCellStyle="Normal 2"/>
    <tableColumn id="14" uniqueName="14" name="TOTAL" queryTableFieldId="14" headerRowDxfId="863" dataDxfId="862" headerRowCellStyle="Normal 2" dataCellStyle="TXT2"/>
    <tableColumn id="15" uniqueName="15" name="AGE_LEVEL_ENG" queryTableFieldId="15" headerRowDxfId="861" dataDxfId="860" headerRowCellStyle="Normal 2" dataCellStyle="TXT1"/>
  </tableColumns>
  <tableStyleInfo name="VITAL" showFirstColumn="0" showLastColumn="0" showRowStripes="1" showColumnStripes="0"/>
</table>
</file>

<file path=xl/tables/table51.xml><?xml version="1.0" encoding="utf-8"?>
<table xmlns="http://schemas.openxmlformats.org/spreadsheetml/2006/main" id="50" name="Table_Default__XLS_TAB_29_3" displayName="Table_Default__XLS_TAB_29_3" ref="A9:O22" tableType="queryTable" headerRowCount="0" totalsRowShown="0" headerRowDxfId="859" dataDxfId="858" tableBorderDxfId="857" headerRowCellStyle="Normal 2" dataCellStyle="Normal 2">
  <tableColumns count="15">
    <tableColumn id="1" uniqueName="1" name="AGE_LEVEL_ARB" queryTableFieldId="1" headerRowDxfId="856" dataDxfId="855" headerRowCellStyle="Normal 2" dataCellStyle="TXT1"/>
    <tableColumn id="2" uniqueName="2" name="B_CONS_CNT" queryTableFieldId="2" headerRowDxfId="854" dataDxfId="853" headerRowCellStyle="Normal 2" dataCellStyle="Normal 2"/>
    <tableColumn id="3" uniqueName="3" name="BELOW_1_CNT" queryTableFieldId="3" headerRowDxfId="852" dataDxfId="851" headerRowCellStyle="Normal 2" dataCellStyle="Normal 2"/>
    <tableColumn id="4" uniqueName="4" name="CNT_1" queryTableFieldId="4" headerRowDxfId="850" dataDxfId="849" headerRowCellStyle="Normal 2" dataCellStyle="Normal 2"/>
    <tableColumn id="5" uniqueName="5" name="CNT_2" queryTableFieldId="5" headerRowDxfId="848" dataDxfId="847" headerRowCellStyle="Normal 2" dataCellStyle="Normal 2"/>
    <tableColumn id="6" uniqueName="6" name="CNT_3" queryTableFieldId="6" headerRowDxfId="846" dataDxfId="845" headerRowCellStyle="Normal 2" dataCellStyle="Normal 2"/>
    <tableColumn id="7" uniqueName="7" name="CNT_4" queryTableFieldId="7" headerRowDxfId="844" dataDxfId="843" headerRowCellStyle="Normal 2" dataCellStyle="Normal 2"/>
    <tableColumn id="8" uniqueName="8" name="CNT_5_9" queryTableFieldId="8" headerRowDxfId="842" dataDxfId="841" headerRowCellStyle="Normal 2" dataCellStyle="Normal 2"/>
    <tableColumn id="9" uniqueName="9" name="CNT_10_14" queryTableFieldId="9" headerRowDxfId="840" dataDxfId="839" headerRowCellStyle="Normal 2" dataCellStyle="Normal 2"/>
    <tableColumn id="10" uniqueName="10" name="CNT_15_19" queryTableFieldId="10" headerRowDxfId="838" dataDxfId="837" headerRowCellStyle="Normal 2" dataCellStyle="Normal 2"/>
    <tableColumn id="11" uniqueName="11" name="CNT_20_24" queryTableFieldId="11" headerRowDxfId="836" dataDxfId="835" headerRowCellStyle="Normal 2" dataCellStyle="Normal 2"/>
    <tableColumn id="12" uniqueName="12" name="CNT_UP_25" queryTableFieldId="12" headerRowDxfId="834" dataDxfId="833" headerRowCellStyle="Normal 2" dataCellStyle="Normal 2"/>
    <tableColumn id="13" uniqueName="13" name="NOT_STATED" queryTableFieldId="13" headerRowDxfId="832" dataDxfId="831" headerRowCellStyle="Normal 2" dataCellStyle="Normal 2"/>
    <tableColumn id="14" uniqueName="14" name="TOTAL" queryTableFieldId="14" headerRowDxfId="830" dataDxfId="829" headerRowCellStyle="Normal 2" dataCellStyle="TXT2"/>
    <tableColumn id="15" uniqueName="15" name="AGE_LEVEL_ENG" queryTableFieldId="15" headerRowDxfId="828" dataDxfId="827" headerRowCellStyle="Normal 2" dataCellStyle="TXT1"/>
  </tableColumns>
  <tableStyleInfo name="VITAL" showFirstColumn="0" showLastColumn="0" showRowStripes="1" showColumnStripes="0"/>
</table>
</file>

<file path=xl/tables/table52.xml><?xml version="1.0" encoding="utf-8"?>
<table xmlns="http://schemas.openxmlformats.org/spreadsheetml/2006/main" id="46" name="Table_Default__XLS_TAB_30_347" displayName="Table_Default__XLS_TAB_30_347" ref="A9:O19" tableType="queryTable" headerRowCount="0" totalsRowShown="0" headerRowDxfId="826" dataDxfId="825" tableBorderDxfId="824" headerRowCellStyle="Normal 2" dataCellStyle="Normal 2">
  <tableColumns count="15">
    <tableColumn id="1" uniqueName="1" name="AGE_LEVEL_ARB" queryTableFieldId="1" headerRowDxfId="823" dataDxfId="822" headerRowCellStyle="Normal 2" dataCellStyle="TXT1"/>
    <tableColumn id="2" uniqueName="2" name="B_CONS_CNT" queryTableFieldId="2" headerRowDxfId="821" dataDxfId="820" headerRowCellStyle="Normal 2" dataCellStyle="Normal 2"/>
    <tableColumn id="3" uniqueName="3" name="BELOW_1_CNT" queryTableFieldId="3" headerRowDxfId="819" dataDxfId="818" headerRowCellStyle="Normal 2" dataCellStyle="Normal 2"/>
    <tableColumn id="4" uniqueName="4" name="CNT_1" queryTableFieldId="4" headerRowDxfId="817" dataDxfId="816" headerRowCellStyle="Normal 2" dataCellStyle="Normal 2"/>
    <tableColumn id="5" uniqueName="5" name="CNT_2" queryTableFieldId="5" headerRowDxfId="815" dataDxfId="814" headerRowCellStyle="Normal 2" dataCellStyle="Normal 2"/>
    <tableColumn id="6" uniqueName="6" name="CNT_3" queryTableFieldId="6" headerRowDxfId="813" dataDxfId="812" headerRowCellStyle="Normal 2" dataCellStyle="Normal 2"/>
    <tableColumn id="7" uniqueName="7" name="CNT_4" queryTableFieldId="7" headerRowDxfId="811" dataDxfId="810" headerRowCellStyle="Normal 2" dataCellStyle="Normal 2"/>
    <tableColumn id="8" uniqueName="8" name="CNT_5_9" queryTableFieldId="8" headerRowDxfId="809" dataDxfId="808" headerRowCellStyle="Normal 2" dataCellStyle="Normal 2"/>
    <tableColumn id="9" uniqueName="9" name="CNT_10_14" queryTableFieldId="9" headerRowDxfId="807" dataDxfId="806" headerRowCellStyle="Normal 2" dataCellStyle="Normal 2"/>
    <tableColumn id="10" uniqueName="10" name="CNT_15_19" queryTableFieldId="10" headerRowDxfId="805" dataDxfId="804" headerRowCellStyle="Normal 2" dataCellStyle="Normal 2"/>
    <tableColumn id="11" uniqueName="11" name="CNT_20_24" queryTableFieldId="11" headerRowDxfId="803" dataDxfId="802" headerRowCellStyle="Normal 2" dataCellStyle="Normal 2"/>
    <tableColumn id="12" uniqueName="12" name="CNT_UP_25" queryTableFieldId="12" headerRowDxfId="801" dataDxfId="800" headerRowCellStyle="Normal 2" dataCellStyle="Normal 2"/>
    <tableColumn id="13" uniqueName="13" name="NOT_STATED" queryTableFieldId="13" headerRowDxfId="799" dataDxfId="798" headerRowCellStyle="Normal 2" dataCellStyle="Normal 2"/>
    <tableColumn id="14" uniqueName="14" name="TOTAL" queryTableFieldId="14" headerRowDxfId="797" dataDxfId="796" headerRowCellStyle="Normal 2" dataCellStyle="TXT2"/>
    <tableColumn id="15" uniqueName="15" name="AGE_LEVEL_ENG" queryTableFieldId="15" headerRowDxfId="795" dataDxfId="794" headerRowCellStyle="Normal 2" dataCellStyle="TXT1"/>
  </tableColumns>
  <tableStyleInfo name="VITAL" showFirstColumn="0" showLastColumn="0" showRowStripes="1" showColumnStripes="0"/>
</table>
</file>

<file path=xl/tables/table53.xml><?xml version="1.0" encoding="utf-8"?>
<table xmlns="http://schemas.openxmlformats.org/spreadsheetml/2006/main" id="43" name="Table_Default__XLS_TAB_30_344" displayName="Table_Default__XLS_TAB_30_344" ref="A9:O19" tableType="queryTable" headerRowCount="0" totalsRowShown="0" headerRowDxfId="793" dataDxfId="792" tableBorderDxfId="791" headerRowCellStyle="Normal 2" dataCellStyle="Normal 2">
  <tableColumns count="15">
    <tableColumn id="1" uniqueName="1" name="AGE_LEVEL_ARB" queryTableFieldId="1" headerRowDxfId="790" dataDxfId="789" headerRowCellStyle="Normal 2" dataCellStyle="TXT1"/>
    <tableColumn id="2" uniqueName="2" name="B_CONS_CNT" queryTableFieldId="2" headerRowDxfId="788" dataDxfId="787" headerRowCellStyle="Normal 2" dataCellStyle="Normal 2"/>
    <tableColumn id="3" uniqueName="3" name="BELOW_1_CNT" queryTableFieldId="3" headerRowDxfId="786" dataDxfId="785" headerRowCellStyle="Normal 2" dataCellStyle="Normal 2"/>
    <tableColumn id="4" uniqueName="4" name="CNT_1" queryTableFieldId="4" headerRowDxfId="784" dataDxfId="783" headerRowCellStyle="Normal 2" dataCellStyle="Normal 2"/>
    <tableColumn id="5" uniqueName="5" name="CNT_2" queryTableFieldId="5" headerRowDxfId="782" dataDxfId="781" headerRowCellStyle="Normal 2" dataCellStyle="Normal 2"/>
    <tableColumn id="6" uniqueName="6" name="CNT_3" queryTableFieldId="6" headerRowDxfId="780" dataDxfId="779" headerRowCellStyle="Normal 2" dataCellStyle="Normal 2"/>
    <tableColumn id="7" uniqueName="7" name="CNT_4" queryTableFieldId="7" headerRowDxfId="778" dataDxfId="777" headerRowCellStyle="Normal 2" dataCellStyle="Normal 2"/>
    <tableColumn id="8" uniqueName="8" name="CNT_5_9" queryTableFieldId="8" headerRowDxfId="776" dataDxfId="775" headerRowCellStyle="Normal 2" dataCellStyle="Normal 2"/>
    <tableColumn id="9" uniqueName="9" name="CNT_10_14" queryTableFieldId="9" headerRowDxfId="774" dataDxfId="773" headerRowCellStyle="Normal 2" dataCellStyle="Normal 2"/>
    <tableColumn id="10" uniqueName="10" name="CNT_15_19" queryTableFieldId="10" headerRowDxfId="772" dataDxfId="771" headerRowCellStyle="Normal 2" dataCellStyle="Normal 2"/>
    <tableColumn id="11" uniqueName="11" name="CNT_20_24" queryTableFieldId="11" headerRowDxfId="770" dataDxfId="769" headerRowCellStyle="Normal 2" dataCellStyle="Normal 2"/>
    <tableColumn id="12" uniqueName="12" name="CNT_UP_25" queryTableFieldId="12" headerRowDxfId="768" dataDxfId="767" headerRowCellStyle="Normal 2" dataCellStyle="Normal 2"/>
    <tableColumn id="13" uniqueName="13" name="NOT_STATED" queryTableFieldId="13" headerRowDxfId="766" dataDxfId="765" headerRowCellStyle="Normal 2" dataCellStyle="Normal 2"/>
    <tableColumn id="14" uniqueName="14" name="TOTAL" queryTableFieldId="14" headerRowDxfId="764" dataDxfId="763" headerRowCellStyle="Normal 2" dataCellStyle="TXT2"/>
    <tableColumn id="15" uniqueName="15" name="AGE_LEVEL_ENG" queryTableFieldId="15" headerRowDxfId="762" dataDxfId="761" headerRowCellStyle="Normal 2" dataCellStyle="TXT1"/>
  </tableColumns>
  <tableStyleInfo name="VITAL" showFirstColumn="0" showLastColumn="0" showRowStripes="1" showColumnStripes="0"/>
</table>
</file>

<file path=xl/tables/table54.xml><?xml version="1.0" encoding="utf-8"?>
<table xmlns="http://schemas.openxmlformats.org/spreadsheetml/2006/main" id="53" name="Table_Default__XLS_TAB_30_3" displayName="Table_Default__XLS_TAB_30_3" ref="A9:O19" tableType="queryTable" headerRowCount="0" totalsRowShown="0" headerRowDxfId="760" dataDxfId="759" tableBorderDxfId="758" headerRowCellStyle="Normal 2" dataCellStyle="Normal 2">
  <tableColumns count="15">
    <tableColumn id="1" uniqueName="1" name="AGE_LEVEL_ARB" queryTableFieldId="1" headerRowDxfId="757" dataDxfId="756" headerRowCellStyle="Normal 2" dataCellStyle="TXT1"/>
    <tableColumn id="2" uniqueName="2" name="B_CONS_CNT" queryTableFieldId="2" headerRowDxfId="755" dataDxfId="754" headerRowCellStyle="Normal 2" dataCellStyle="Normal 2"/>
    <tableColumn id="3" uniqueName="3" name="BELOW_1_CNT" queryTableFieldId="3" headerRowDxfId="753" dataDxfId="752" headerRowCellStyle="Normal 2" dataCellStyle="Normal 2"/>
    <tableColumn id="4" uniqueName="4" name="CNT_1" queryTableFieldId="4" headerRowDxfId="751" dataDxfId="750" headerRowCellStyle="Normal 2" dataCellStyle="Normal 2"/>
    <tableColumn id="5" uniqueName="5" name="CNT_2" queryTableFieldId="5" headerRowDxfId="749" dataDxfId="748" headerRowCellStyle="Normal 2" dataCellStyle="Normal 2"/>
    <tableColumn id="6" uniqueName="6" name="CNT_3" queryTableFieldId="6" headerRowDxfId="747" dataDxfId="746" headerRowCellStyle="Normal 2" dataCellStyle="Normal 2"/>
    <tableColumn id="7" uniqueName="7" name="CNT_4" queryTableFieldId="7" headerRowDxfId="745" dataDxfId="744" headerRowCellStyle="Normal 2" dataCellStyle="Normal 2"/>
    <tableColumn id="8" uniqueName="8" name="CNT_5_9" queryTableFieldId="8" headerRowDxfId="743" dataDxfId="742" headerRowCellStyle="Normal 2" dataCellStyle="Normal 2"/>
    <tableColumn id="9" uniqueName="9" name="CNT_10_14" queryTableFieldId="9" headerRowDxfId="741" dataDxfId="740" headerRowCellStyle="Normal 2" dataCellStyle="Normal 2"/>
    <tableColumn id="10" uniqueName="10" name="CNT_15_19" queryTableFieldId="10" headerRowDxfId="739" dataDxfId="738" headerRowCellStyle="Normal 2" dataCellStyle="Normal 2"/>
    <tableColumn id="11" uniqueName="11" name="CNT_20_24" queryTableFieldId="11" headerRowDxfId="737" dataDxfId="736" headerRowCellStyle="Normal 2" dataCellStyle="Normal 2"/>
    <tableColumn id="12" uniqueName="12" name="CNT_UP_25" queryTableFieldId="12" headerRowDxfId="735" dataDxfId="734" headerRowCellStyle="Normal 2" dataCellStyle="Normal 2"/>
    <tableColumn id="13" uniqueName="13" name="NOT_STATED" queryTableFieldId="13" headerRowDxfId="733" dataDxfId="732" headerRowCellStyle="Normal 2" dataCellStyle="Normal 2"/>
    <tableColumn id="14" uniqueName="14" name="TOTAL" queryTableFieldId="14" headerRowDxfId="731" dataDxfId="730" headerRowCellStyle="Normal 2" dataCellStyle="TXT2"/>
    <tableColumn id="15" uniqueName="15" name="AGE_LEVEL_ENG" queryTableFieldId="15" headerRowDxfId="729" dataDxfId="728" headerRowCellStyle="Normal 2" dataCellStyle="TXT1"/>
  </tableColumns>
  <tableStyleInfo name="VITAL" showFirstColumn="0" showLastColumn="0" showRowStripes="1" showColumnStripes="0"/>
</table>
</file>

<file path=xl/tables/table55.xml><?xml version="1.0" encoding="utf-8"?>
<table xmlns="http://schemas.openxmlformats.org/spreadsheetml/2006/main" id="54" name="Table_Default__XLS_TAB_31_1" displayName="Table_Default__XLS_TAB_31_1" ref="A9:N22" tableType="queryTable" headerRowCount="0" totalsRowShown="0" dataDxfId="727" tableBorderDxfId="726" dataCellStyle="Normal 2">
  <tableColumns count="14">
    <tableColumn id="1" uniqueName="1" name="AGE_LEVEL_ARB" queryTableFieldId="1" headerRowDxfId="725" dataDxfId="724" headerRowCellStyle="Normal 2" dataCellStyle="Normal 2"/>
    <tableColumn id="2" uniqueName="2" name="CNT_BELOW_20" queryTableFieldId="2" headerRowDxfId="723" dataDxfId="722" headerRowCellStyle="Normal 2" dataCellStyle="Normal 2"/>
    <tableColumn id="3" uniqueName="3" name="CNT_20_24" queryTableFieldId="3" headerRowDxfId="721" dataDxfId="720" headerRowCellStyle="Normal 2" dataCellStyle="Normal 2"/>
    <tableColumn id="4" uniqueName="4" name="CNT_25_29" queryTableFieldId="4" headerRowDxfId="719" dataDxfId="718" headerRowCellStyle="Normal 2" dataCellStyle="Normal 2"/>
    <tableColumn id="5" uniqueName="5" name="CNT_30_34" queryTableFieldId="5" headerRowDxfId="717" dataDxfId="716" headerRowCellStyle="Normal 2" dataCellStyle="Normal 2"/>
    <tableColumn id="6" uniqueName="6" name="CNT_35_39" queryTableFieldId="6" headerRowDxfId="715" dataDxfId="714" headerRowCellStyle="Normal 2" dataCellStyle="Normal 2"/>
    <tableColumn id="7" uniqueName="7" name="CNT_40_44" queryTableFieldId="7" headerRowDxfId="713" dataDxfId="712" headerRowCellStyle="Normal 2" dataCellStyle="Normal 2"/>
    <tableColumn id="8" uniqueName="8" name="CNT_45_49" queryTableFieldId="8" headerRowDxfId="711" dataDxfId="710" headerRowCellStyle="Normal 2" dataCellStyle="Normal 2"/>
    <tableColumn id="9" uniqueName="9" name="CNT_50_54" queryTableFieldId="9" headerRowDxfId="709" dataDxfId="708" headerRowCellStyle="Normal 2" dataCellStyle="Normal 2"/>
    <tableColumn id="10" uniqueName="10" name="CNT_55_59" queryTableFieldId="10" headerRowDxfId="707" dataDxfId="706" headerRowCellStyle="Normal 2" dataCellStyle="Normal 2"/>
    <tableColumn id="11" uniqueName="11" name="CNT_UP_60" queryTableFieldId="11" headerRowDxfId="705" dataDxfId="704" headerRowCellStyle="Normal 2" dataCellStyle="Normal 2"/>
    <tableColumn id="12" uniqueName="12" name="NOT_STATED" queryTableFieldId="12" headerRowDxfId="703" dataDxfId="702" headerRowCellStyle="Normal 2" dataCellStyle="Normal 2"/>
    <tableColumn id="13" uniqueName="13" name="TOTAL" queryTableFieldId="13" headerRowDxfId="701" dataDxfId="700" headerRowCellStyle="Normal 2" dataCellStyle="Normal 2"/>
    <tableColumn id="14" uniqueName="14" name="AGE_LEVEL_ENG" queryTableFieldId="14" headerRowDxfId="699" dataDxfId="698" headerRowCellStyle="Normal 2" dataCellStyle="Normal 2"/>
  </tableColumns>
  <tableStyleInfo name="VITAL" showFirstColumn="0" showLastColumn="0" showRowStripes="1" showColumnStripes="0"/>
</table>
</file>

<file path=xl/tables/table56.xml><?xml version="1.0" encoding="utf-8"?>
<table xmlns="http://schemas.openxmlformats.org/spreadsheetml/2006/main" id="55" name="Table_Default__XLS_TAB_31_2" displayName="Table_Default__XLS_TAB_31_2" ref="A9:N22" tableType="queryTable" headerRowCount="0" totalsRowShown="0" dataDxfId="697" tableBorderDxfId="696" dataCellStyle="Normal 2">
  <tableColumns count="14">
    <tableColumn id="1" uniqueName="1" name="AGE_LEVEL_ARB" queryTableFieldId="1" headerRowDxfId="695" dataDxfId="694" headerRowCellStyle="Normal 2" dataCellStyle="Normal 2"/>
    <tableColumn id="2" uniqueName="2" name="CNT_BELOW_20" queryTableFieldId="2" headerRowDxfId="693" dataDxfId="692" headerRowCellStyle="Normal 2" dataCellStyle="Normal 2"/>
    <tableColumn id="3" uniqueName="3" name="CNT_20_24" queryTableFieldId="3" headerRowDxfId="691" dataDxfId="690" headerRowCellStyle="Normal 2" dataCellStyle="Normal 2"/>
    <tableColumn id="4" uniqueName="4" name="CNT_25_29" queryTableFieldId="4" headerRowDxfId="689" dataDxfId="688" headerRowCellStyle="Normal 2" dataCellStyle="Normal 2"/>
    <tableColumn id="5" uniqueName="5" name="CNT_30_34" queryTableFieldId="5" headerRowDxfId="687" dataDxfId="686" headerRowCellStyle="Normal 2" dataCellStyle="Normal 2"/>
    <tableColumn id="6" uniqueName="6" name="CNT_35_39" queryTableFieldId="6" headerRowDxfId="685" dataDxfId="684" headerRowCellStyle="Normal 2" dataCellStyle="Normal 2"/>
    <tableColumn id="7" uniqueName="7" name="CNT_40_44" queryTableFieldId="7" headerRowDxfId="683" dataDxfId="682" headerRowCellStyle="Normal 2" dataCellStyle="Normal 2"/>
    <tableColumn id="8" uniqueName="8" name="CNT_45_49" queryTableFieldId="8" headerRowDxfId="681" dataDxfId="680" headerRowCellStyle="Normal 2" dataCellStyle="Normal 2"/>
    <tableColumn id="9" uniqueName="9" name="CNT_50_54" queryTableFieldId="9" headerRowDxfId="679" dataDxfId="678" headerRowCellStyle="Normal 2" dataCellStyle="Normal 2"/>
    <tableColumn id="10" uniqueName="10" name="CNT_55_59" queryTableFieldId="10" headerRowDxfId="677" dataDxfId="676" headerRowCellStyle="Normal 2" dataCellStyle="Normal 2"/>
    <tableColumn id="11" uniqueName="11" name="CNT_UP_60" queryTableFieldId="11" headerRowDxfId="675" dataDxfId="674" headerRowCellStyle="Normal 2" dataCellStyle="Normal 2"/>
    <tableColumn id="12" uniqueName="12" name="NOT_STATED" queryTableFieldId="12" headerRowDxfId="673" dataDxfId="672" headerRowCellStyle="Normal 2" dataCellStyle="Normal 2"/>
    <tableColumn id="13" uniqueName="13" name="TOTAL" queryTableFieldId="13" headerRowDxfId="671" dataDxfId="670" headerRowCellStyle="Normal 2" dataCellStyle="Normal 2"/>
    <tableColumn id="14" uniqueName="14" name="AGE_LEVEL_ENG" queryTableFieldId="14" headerRowDxfId="669" dataDxfId="668" headerRowCellStyle="Normal 2" dataCellStyle="Normal 2"/>
  </tableColumns>
  <tableStyleInfo name="VITAL" showFirstColumn="0" showLastColumn="0" showRowStripes="1" showColumnStripes="0"/>
</table>
</file>

<file path=xl/tables/table57.xml><?xml version="1.0" encoding="utf-8"?>
<table xmlns="http://schemas.openxmlformats.org/spreadsheetml/2006/main" id="56" name="Table_Default__XLS_TAB_31_3" displayName="Table_Default__XLS_TAB_31_3" ref="A9:N22" tableType="queryTable" headerRowCount="0" totalsRowShown="0" dataDxfId="667" tableBorderDxfId="666" dataCellStyle="Normal 2">
  <tableColumns count="14">
    <tableColumn id="1" uniqueName="1" name="AGE_LEVEL_ARB" queryTableFieldId="1" headerRowDxfId="665" dataDxfId="664" headerRowCellStyle="Normal 2" dataCellStyle="Normal 2"/>
    <tableColumn id="2" uniqueName="2" name="CNT_BELOW_20" queryTableFieldId="2" headerRowDxfId="663" dataDxfId="662" headerRowCellStyle="Normal 2" dataCellStyle="Normal 2"/>
    <tableColumn id="3" uniqueName="3" name="CNT_20_24" queryTableFieldId="3" headerRowDxfId="661" dataDxfId="660" headerRowCellStyle="Normal 2" dataCellStyle="Normal 2"/>
    <tableColumn id="4" uniqueName="4" name="CNT_25_29" queryTableFieldId="4" headerRowDxfId="659" dataDxfId="658" headerRowCellStyle="Normal 2" dataCellStyle="Normal 2"/>
    <tableColumn id="5" uniqueName="5" name="CNT_30_34" queryTableFieldId="5" headerRowDxfId="657" dataDxfId="656" headerRowCellStyle="Normal 2" dataCellStyle="Normal 2"/>
    <tableColumn id="6" uniqueName="6" name="CNT_35_39" queryTableFieldId="6" headerRowDxfId="655" dataDxfId="654" headerRowCellStyle="Normal 2" dataCellStyle="Normal 2"/>
    <tableColumn id="7" uniqueName="7" name="CNT_40_44" queryTableFieldId="7" headerRowDxfId="653" dataDxfId="652" headerRowCellStyle="Normal 2" dataCellStyle="Normal 2"/>
    <tableColumn id="8" uniqueName="8" name="CNT_45_49" queryTableFieldId="8" headerRowDxfId="651" dataDxfId="650" headerRowCellStyle="Normal 2" dataCellStyle="Normal 2"/>
    <tableColumn id="9" uniqueName="9" name="CNT_50_54" queryTableFieldId="9" headerRowDxfId="649" dataDxfId="648" headerRowCellStyle="Normal 2" dataCellStyle="Normal 2"/>
    <tableColumn id="10" uniqueName="10" name="CNT_55_59" queryTableFieldId="10" headerRowDxfId="647" dataDxfId="646" headerRowCellStyle="Normal 2" dataCellStyle="Normal 2"/>
    <tableColumn id="11" uniqueName="11" name="CNT_UP_60" queryTableFieldId="11" headerRowDxfId="645" dataDxfId="644" headerRowCellStyle="Normal 2" dataCellStyle="Normal 2"/>
    <tableColumn id="12" uniqueName="12" name="NOT_STATED" queryTableFieldId="12" headerRowDxfId="643" dataDxfId="642" headerRowCellStyle="Normal 2" dataCellStyle="Normal 2"/>
    <tableColumn id="13" uniqueName="13" name="TOTAL" queryTableFieldId="13" headerRowDxfId="641" dataDxfId="640" headerRowCellStyle="Normal 2" dataCellStyle="Normal 2"/>
    <tableColumn id="14" uniqueName="14" name="AGE_LEVEL_ENG" queryTableFieldId="14" headerRowDxfId="639" dataDxfId="638" headerRowCellStyle="Normal 2" dataCellStyle="Normal 2"/>
  </tableColumns>
  <tableStyleInfo name="VITAL" showFirstColumn="0" showLastColumn="0" showRowStripes="1" showColumnStripes="0"/>
</table>
</file>

<file path=xl/tables/table58.xml><?xml version="1.0" encoding="utf-8"?>
<table xmlns="http://schemas.openxmlformats.org/spreadsheetml/2006/main" id="57" name="Table_Default__XLS_TAB_32" displayName="Table_Default__XLS_TAB_32" ref="A8:Q13" tableType="queryTable" headerRowCount="0" totalsRowShown="0" dataDxfId="637" tableBorderDxfId="636" dataCellStyle="Normal 2">
  <tableColumns count="17">
    <tableColumn id="1" uniqueName="1" name="AREA_ARB" queryTableFieldId="1" headerRowDxfId="635" dataDxfId="634" headerRowCellStyle="Normal 2" dataCellStyle="Normal 2"/>
    <tableColumn id="2" uniqueName="2" name="CNT_BELOW_20" queryTableFieldId="2" headerRowDxfId="633" dataDxfId="632" headerRowCellStyle="Normal 2" dataCellStyle="Normal 2"/>
    <tableColumn id="3" uniqueName="3" name="CNT_20_24" queryTableFieldId="3" headerRowDxfId="631" dataDxfId="630" headerRowCellStyle="Normal 2" dataCellStyle="Normal 2"/>
    <tableColumn id="4" uniqueName="4" name="CNT_25_29" queryTableFieldId="4" headerRowDxfId="629" dataDxfId="628" headerRowCellStyle="Normal 2" dataCellStyle="Normal 2"/>
    <tableColumn id="5" uniqueName="5" name="CNT_30_34" queryTableFieldId="5" headerRowDxfId="627" dataDxfId="626" headerRowCellStyle="Normal 2" dataCellStyle="Normal 2"/>
    <tableColumn id="6" uniqueName="6" name="CNT_35_39" queryTableFieldId="6" headerRowDxfId="625" dataDxfId="624" headerRowCellStyle="Normal 2" dataCellStyle="Normal 2"/>
    <tableColumn id="7" uniqueName="7" name="CNT_40_44" queryTableFieldId="7" headerRowDxfId="623" dataDxfId="622" headerRowCellStyle="Normal 2" dataCellStyle="Normal 2"/>
    <tableColumn id="8" uniqueName="8" name="CNT_45_49" queryTableFieldId="8" headerRowDxfId="621" dataDxfId="620" headerRowCellStyle="Normal 2" dataCellStyle="Normal 2"/>
    <tableColumn id="9" uniqueName="9" name="CNT_50_54" queryTableFieldId="9" headerRowDxfId="619" dataDxfId="618" headerRowCellStyle="Normal 2" dataCellStyle="Normal 2"/>
    <tableColumn id="10" uniqueName="10" name="CNT_55_59" queryTableFieldId="10" headerRowDxfId="617" dataDxfId="616" headerRowCellStyle="Normal 2" dataCellStyle="Normal 2"/>
    <tableColumn id="11" uniqueName="11" name="CNT_60_64" queryTableFieldId="11" headerRowDxfId="615" dataDxfId="614" headerRowCellStyle="Normal 2" dataCellStyle="Normal 2"/>
    <tableColumn id="12" uniqueName="12" name="CNT_65_69" queryTableFieldId="12" headerRowDxfId="613" dataDxfId="612" headerRowCellStyle="Normal 2" dataCellStyle="Normal 2"/>
    <tableColumn id="13" uniqueName="13" name="CNT_70_74" queryTableFieldId="13" headerRowDxfId="611" dataDxfId="610" headerRowCellStyle="Normal 2" dataCellStyle="Normal 2"/>
    <tableColumn id="14" uniqueName="14" name="CNT_UP_75" queryTableFieldId="14" headerRowDxfId="609" dataDxfId="608" headerRowCellStyle="Normal 2" dataCellStyle="Normal 2"/>
    <tableColumn id="15" uniqueName="15" name="NOT_STATED" queryTableFieldId="15" headerRowDxfId="607" dataDxfId="606" headerRowCellStyle="Normal 2" dataCellStyle="Normal 2"/>
    <tableColumn id="16" uniqueName="16" name="TOTAL" queryTableFieldId="16" headerRowDxfId="605" dataDxfId="604" headerRowCellStyle="Normal 2" dataCellStyle="Normal 2"/>
    <tableColumn id="17" uniqueName="17" name="AREA_ENG" queryTableFieldId="17" headerRowDxfId="603" dataDxfId="602" headerRowCellStyle="Normal 2" dataCellStyle="TXT1"/>
  </tableColumns>
  <tableStyleInfo name="VITAL" showFirstColumn="0" showLastColumn="0" showRowStripes="1" showColumnStripes="0"/>
</table>
</file>

<file path=xl/tables/table59.xml><?xml version="1.0" encoding="utf-8"?>
<table xmlns="http://schemas.openxmlformats.org/spreadsheetml/2006/main" id="58" name="Table_Default__XLS_TAB_33" displayName="Table_Default__XLS_TAB_33" ref="A8:N13" tableType="queryTable" headerRowCount="0" totalsRowShown="0" dataDxfId="601" tableBorderDxfId="600" dataCellStyle="Normal 2">
  <tableColumns count="14">
    <tableColumn id="1" uniqueName="1" name="AREA_ARB" queryTableFieldId="1" headerRowDxfId="599" dataDxfId="598" headerRowCellStyle="Normal 2" dataCellStyle="Normal 2"/>
    <tableColumn id="2" uniqueName="2" name="CNT_BELOW_20" queryTableFieldId="2" headerRowDxfId="597" dataDxfId="596" headerRowCellStyle="Normal 2" dataCellStyle="Normal 2"/>
    <tableColumn id="3" uniqueName="3" name="CNT_20_24" queryTableFieldId="3" headerRowDxfId="595" dataDxfId="594" headerRowCellStyle="Normal 2" dataCellStyle="Normal 2"/>
    <tableColumn id="4" uniqueName="4" name="CNT_25_29" queryTableFieldId="4" headerRowDxfId="593" dataDxfId="592" headerRowCellStyle="Normal 2" dataCellStyle="Normal 2"/>
    <tableColumn id="5" uniqueName="5" name="CNT_30_34" queryTableFieldId="5" headerRowDxfId="591" dataDxfId="590" headerRowCellStyle="Normal 2" dataCellStyle="Normal 2"/>
    <tableColumn id="6" uniqueName="6" name="CNT_35_39" queryTableFieldId="6" headerRowDxfId="589" dataDxfId="588" headerRowCellStyle="Normal 2" dataCellStyle="Normal 2"/>
    <tableColumn id="7" uniqueName="7" name="CNT_40_44" queryTableFieldId="7" headerRowDxfId="587" dataDxfId="586" headerRowCellStyle="Normal 2" dataCellStyle="Normal 2"/>
    <tableColumn id="8" uniqueName="8" name="CNT_45_49" queryTableFieldId="8" headerRowDxfId="585" dataDxfId="584" headerRowCellStyle="Normal 2" dataCellStyle="Normal 2"/>
    <tableColumn id="9" uniqueName="9" name="CNT_50_54" queryTableFieldId="9" headerRowDxfId="583" dataDxfId="582" headerRowCellStyle="Normal 2" dataCellStyle="Normal 2"/>
    <tableColumn id="10" uniqueName="10" name="CNT_55_59" queryTableFieldId="10" headerRowDxfId="581" dataDxfId="580" headerRowCellStyle="Normal 2" dataCellStyle="Normal 2"/>
    <tableColumn id="11" uniqueName="11" name="CNT_UP_60" queryTableFieldId="11" headerRowDxfId="579" dataDxfId="578" headerRowCellStyle="Normal 2" dataCellStyle="Normal 2"/>
    <tableColumn id="12" uniqueName="12" name="NOT_STATED" queryTableFieldId="12" headerRowDxfId="577" dataDxfId="576" headerRowCellStyle="Normal 2" dataCellStyle="Normal 2"/>
    <tableColumn id="13" uniqueName="13" name="TOTAL" queryTableFieldId="13" headerRowDxfId="575" dataDxfId="574" headerRowCellStyle="Normal 2" dataCellStyle="Normal 2"/>
    <tableColumn id="14" uniqueName="14" name="AREA_ENG" queryTableFieldId="14" headerRowDxfId="573" dataDxfId="572" headerRowCellStyle="Normal 2" dataCellStyle="TXT1"/>
  </tableColumns>
  <tableStyleInfo name="VITAL" showFirstColumn="0" showLastColumn="0" showRowStripes="1" showColumnStripes="0"/>
</table>
</file>

<file path=xl/tables/table6.xml><?xml version="1.0" encoding="utf-8"?>
<table xmlns="http://schemas.openxmlformats.org/spreadsheetml/2006/main" id="6" name="Table_Default__XLS_TAB_10" displayName="Table_Default__XLS_TAB_10" ref="A8:N14" tableType="queryTable" headerRowCount="0" totalsRowCount="1" headerRowDxfId="2095" dataDxfId="2094" totalsRowDxfId="2092" tableBorderDxfId="2093" totalsRowBorderDxfId="2091">
  <tableColumns count="14">
    <tableColumn id="1" uniqueName="1" name="NAT_DESC_ARB" totalsRowLabel="المجموع" queryTableFieldId="1" headerRowDxfId="2090" dataDxfId="2089" totalsRowDxfId="2088" headerRowCellStyle="Normal 2" dataCellStyle="Normal 2"/>
    <tableColumn id="2" uniqueName="2" name="AGE_LEVEL_LESS_20" totalsRowFunction="sum" queryTableFieldId="2" headerRowDxfId="2087" dataDxfId="2086" totalsRowDxfId="2085" headerRowCellStyle="Normal 2" dataCellStyle="Normal 2"/>
    <tableColumn id="3" uniqueName="3" name="AGE_LEVEL_20_24" totalsRowFunction="sum" queryTableFieldId="3" headerRowDxfId="2084" dataDxfId="2083" totalsRowDxfId="2082" headerRowCellStyle="Normal 2" dataCellStyle="Normal 2"/>
    <tableColumn id="4" uniqueName="4" name="AGE_LEVEL_25_29" totalsRowFunction="sum" queryTableFieldId="4" headerRowDxfId="2081" dataDxfId="2080" totalsRowDxfId="2079" headerRowCellStyle="Normal 2" dataCellStyle="Normal 2"/>
    <tableColumn id="5" uniqueName="5" name="AGE_LEVEL_30_34" totalsRowFunction="sum" queryTableFieldId="5" headerRowDxfId="2078" dataDxfId="2077" totalsRowDxfId="2076" headerRowCellStyle="Normal 2" dataCellStyle="Normal 2"/>
    <tableColumn id="6" uniqueName="6" name="AGE_LEVEL_35_39" totalsRowFunction="sum" queryTableFieldId="6" headerRowDxfId="2075" dataDxfId="2074" totalsRowDxfId="2073" headerRowCellStyle="Normal 2" dataCellStyle="Normal 2"/>
    <tableColumn id="7" uniqueName="7" name="AGE_LEVEL_40_44" totalsRowFunction="sum" queryTableFieldId="7" headerRowDxfId="2072" dataDxfId="2071" totalsRowDxfId="2070" headerRowCellStyle="Normal 2" dataCellStyle="Normal 2"/>
    <tableColumn id="8" uniqueName="8" name="AGE_LEVEL_45_49" totalsRowFunction="sum" queryTableFieldId="8" headerRowDxfId="2069" dataDxfId="2068" totalsRowDxfId="2067" headerRowCellStyle="Normal 2" dataCellStyle="Normal 2"/>
    <tableColumn id="9" uniqueName="9" name="AGE_LEVEL_50_54" totalsRowFunction="sum" queryTableFieldId="9" headerRowDxfId="2066" dataDxfId="2065" totalsRowDxfId="2064" headerRowCellStyle="Normal 2" dataCellStyle="Normal 2"/>
    <tableColumn id="10" uniqueName="10" name="AGE_LEVEL_55_59" totalsRowFunction="sum" queryTableFieldId="10" headerRowDxfId="2063" dataDxfId="2062" totalsRowDxfId="2061" headerRowCellStyle="Normal 2" dataCellStyle="Normal 2"/>
    <tableColumn id="11" uniqueName="11" name="AGE_LEVEL_UP_60" totalsRowFunction="sum" queryTableFieldId="11" headerRowDxfId="2060" dataDxfId="2059" totalsRowDxfId="2058" headerRowCellStyle="Normal 2" dataCellStyle="Normal 2"/>
    <tableColumn id="12" uniqueName="12" name="AGE_LEVEL_NOT_STATED" totalsRowFunction="sum" queryTableFieldId="12" headerRowDxfId="2057" dataDxfId="2056" totalsRowDxfId="2055" headerRowCellStyle="Normal 2" dataCellStyle="Normal 2"/>
    <tableColumn id="13" uniqueName="13" name="TOTAL" totalsRowFunction="sum" queryTableFieldId="13" headerRowDxfId="2054" dataDxfId="2053" totalsRowDxfId="2052" headerRowCellStyle="Normal 2" dataCellStyle="Normal 2"/>
    <tableColumn id="14" uniqueName="14" name="NAT_DESC_ENG" totalsRowLabel="Total" queryTableFieldId="14" headerRowDxfId="2051" dataDxfId="2050" totalsRowDxfId="2049" headerRowCellStyle="Normal 2" dataCellStyle="TXT1"/>
  </tableColumns>
  <tableStyleInfo name="VITAL" showFirstColumn="0" showLastColumn="0" showRowStripes="1" showColumnStripes="0"/>
</table>
</file>

<file path=xl/tables/table60.xml><?xml version="1.0" encoding="utf-8"?>
<table xmlns="http://schemas.openxmlformats.org/spreadsheetml/2006/main" id="59" name="Table_Default__XLS_TAB_34" displayName="Table_Default__XLS_TAB_34" ref="B8:H13" tableType="queryTable" headerRowCount="0" totalsRowShown="0" headerRowDxfId="571" dataDxfId="570" tableBorderDxfId="569" headerRowCellStyle="Normal 2" dataCellStyle="Normal 2">
  <tableColumns count="7">
    <tableColumn id="1" uniqueName="1" name="QATAR" queryTableFieldId="1" headerRowDxfId="568" dataDxfId="567" headerRowCellStyle="Normal 2" dataCellStyle="Normal 2"/>
    <tableColumn id="2" uniqueName="2" name="OTHER_G_C_C_COUNTRIES" queryTableFieldId="2" headerRowDxfId="566" dataDxfId="565" headerRowCellStyle="Normal 2" dataCellStyle="Normal 2"/>
    <tableColumn id="3" uniqueName="3" name="OTHER_ARAB_COUNTRIES" queryTableFieldId="3" headerRowDxfId="564" dataDxfId="563" headerRowCellStyle="Normal 2" dataCellStyle="Normal 2"/>
    <tableColumn id="4" uniqueName="4" name="ASIAN_COUNTRIES" queryTableFieldId="4" headerRowDxfId="562" dataDxfId="561" headerRowCellStyle="Normal 2" dataCellStyle="Normal 2"/>
    <tableColumn id="5" uniqueName="5" name="EUROPEAN_COUNTRIES" queryTableFieldId="5" headerRowDxfId="560" dataDxfId="559" headerRowCellStyle="Normal 2" dataCellStyle="Normal 2"/>
    <tableColumn id="6" uniqueName="6" name="OTHER_COUNTRIES" queryTableFieldId="6" headerRowDxfId="558" dataDxfId="557" headerRowCellStyle="Normal 2" dataCellStyle="Normal 2"/>
    <tableColumn id="7" uniqueName="7" name="TOTAL" queryTableFieldId="7" headerRowDxfId="556" dataDxfId="555" headerRowCellStyle="Normal 2" dataCellStyle="TXT2"/>
  </tableColumns>
  <tableStyleInfo name="VITAL" showFirstColumn="0" showLastColumn="0" showRowStripes="1" showColumnStripes="0"/>
</table>
</file>

<file path=xl/tables/table61.xml><?xml version="1.0" encoding="utf-8"?>
<table xmlns="http://schemas.openxmlformats.org/spreadsheetml/2006/main" id="60" name="Table_Default__XLS_TAB_35" displayName="Table_Default__XLS_TAB_35" ref="A9:N22" tableType="queryTable" headerRowCount="0" totalsRowShown="0" headerRowDxfId="554" dataDxfId="553" tableBorderDxfId="552" headerRowCellStyle="Normal 2" dataCellStyle="Normal 2">
  <tableColumns count="14">
    <tableColumn id="1" uniqueName="1" name="AGE_LEVEL_ARB" queryTableFieldId="1" headerRowDxfId="551" dataDxfId="550" headerRowCellStyle="Normal 2" dataCellStyle="Normal 2"/>
    <tableColumn id="2" uniqueName="2" name="Q_NONE_CNT" queryTableFieldId="2" headerRowDxfId="549" dataDxfId="548" headerRowCellStyle="Normal 2" dataCellStyle="Normal 2"/>
    <tableColumn id="3" uniqueName="3" name="Q_1_CNT" queryTableFieldId="3" headerRowDxfId="547" dataDxfId="546" headerRowCellStyle="Normal 2" dataCellStyle="Normal 2"/>
    <tableColumn id="4" uniqueName="4" name="Q_2_CNT" queryTableFieldId="4" headerRowDxfId="545" dataDxfId="544" headerRowCellStyle="Normal 2" dataCellStyle="Normal 2"/>
    <tableColumn id="5" uniqueName="5" name="Q_4_CNT" queryTableFieldId="5" headerRowDxfId="543" dataDxfId="542" headerRowCellStyle="Normal 2" dataCellStyle="Normal 2"/>
    <tableColumn id="6" uniqueName="6" name="Q_NOT_STATED" queryTableFieldId="6" headerRowDxfId="541" dataDxfId="540" headerRowCellStyle="Normal 2" dataCellStyle="Normal 2"/>
    <tableColumn id="7" uniqueName="7" name="Q_TOT_CNT" queryTableFieldId="7" headerRowDxfId="539" dataDxfId="538" headerRowCellStyle="Normal 2" dataCellStyle="Normal 2"/>
    <tableColumn id="8" uniqueName="8" name="NQ_NONE_CNT" queryTableFieldId="8" headerRowDxfId="537" dataDxfId="536" headerRowCellStyle="Normal 2" dataCellStyle="Normal 2"/>
    <tableColumn id="9" uniqueName="9" name="NQ_1_CNT" queryTableFieldId="9" headerRowDxfId="535" dataDxfId="534" headerRowCellStyle="Normal 2" dataCellStyle="Normal 2"/>
    <tableColumn id="10" uniqueName="10" name="NQ_2_CNT" queryTableFieldId="10" headerRowDxfId="533" dataDxfId="532" headerRowCellStyle="Normal 2" dataCellStyle="Normal 2"/>
    <tableColumn id="11" uniqueName="11" name="NQ_4_CNT" queryTableFieldId="11" headerRowDxfId="531" dataDxfId="530" headerRowCellStyle="Normal 2" dataCellStyle="Normal 2"/>
    <tableColumn id="12" uniqueName="12" name="NQ_NOT_STATED" queryTableFieldId="12" headerRowDxfId="529" dataDxfId="528" headerRowCellStyle="Normal 2" dataCellStyle="Normal 2"/>
    <tableColumn id="13" uniqueName="13" name="NQ_TOT_CNT" queryTableFieldId="13" headerRowDxfId="527" dataDxfId="526" headerRowCellStyle="Normal 2" dataCellStyle="Normal 2"/>
    <tableColumn id="14" uniqueName="14" name="AGE_LEVEL_ENG" queryTableFieldId="14" headerRowDxfId="525" dataDxfId="524" headerRowCellStyle="Normal 2" dataCellStyle="Normal 2"/>
  </tableColumns>
  <tableStyleInfo name="VITAL" showFirstColumn="0" showLastColumn="0" showRowStripes="1" showColumnStripes="0"/>
</table>
</file>

<file path=xl/tables/table62.xml><?xml version="1.0" encoding="utf-8"?>
<table xmlns="http://schemas.openxmlformats.org/spreadsheetml/2006/main" id="61" name="Table_Default__XLS_TAB_36_1" displayName="Table_Default__XLS_TAB_36_1" ref="B9:J16" tableType="queryTable" headerRowCount="0" totalsRowShown="0" headerRowDxfId="523" dataDxfId="522" tableBorderDxfId="521" headerRowCellStyle="Normal 2" dataCellStyle="Normal 2">
  <tableColumns count="9">
    <tableColumn id="1" uniqueName="1" name="ILLITERATE_CNT" queryTableFieldId="1" headerRowDxfId="520" dataDxfId="519" headerRowCellStyle="Normal 2" dataCellStyle="Normal 2"/>
    <tableColumn id="2" uniqueName="2" name="READ_AND_WRITE_CNT" queryTableFieldId="2" headerRowDxfId="518" dataDxfId="517" headerRowCellStyle="Normal 2" dataCellStyle="Normal 2"/>
    <tableColumn id="3" uniqueName="3" name="PRIMARY_CNT" queryTableFieldId="3" headerRowDxfId="516" dataDxfId="515" headerRowCellStyle="Normal 2" dataCellStyle="Normal 2"/>
    <tableColumn id="4" uniqueName="4" name="PREPARATORY_CNT" queryTableFieldId="4" headerRowDxfId="514" dataDxfId="513" headerRowCellStyle="Normal 2" dataCellStyle="Normal 2"/>
    <tableColumn id="5" uniqueName="5" name="SECONDARY_CNT" queryTableFieldId="5" headerRowDxfId="512" dataDxfId="511" headerRowCellStyle="Normal 2" dataCellStyle="Normal 2"/>
    <tableColumn id="6" uniqueName="6" name="PRE_UNIVERSITY_CNT" queryTableFieldId="6" headerRowDxfId="510" dataDxfId="509" headerRowCellStyle="Normal 2" dataCellStyle="Normal 2"/>
    <tableColumn id="7" uniqueName="7" name="UNIV_ABOVE_CNT" queryTableFieldId="7" headerRowDxfId="508" dataDxfId="507" headerRowCellStyle="Normal 2" dataCellStyle="Normal 2"/>
    <tableColumn id="8" uniqueName="8" name="NOT_STATED_CNT" queryTableFieldId="8" headerRowDxfId="506" dataDxfId="505" headerRowCellStyle="Normal 2" dataCellStyle="Normal 2"/>
    <tableColumn id="9" uniqueName="9" name="TOTAL" queryTableFieldId="9" headerRowDxfId="504" dataDxfId="503" headerRowCellStyle="Normal 2" dataCellStyle="Normal 2"/>
  </tableColumns>
  <tableStyleInfo name="VITAL" showFirstColumn="0" showLastColumn="0" showRowStripes="1" showColumnStripes="0"/>
</table>
</file>

<file path=xl/tables/table63.xml><?xml version="1.0" encoding="utf-8"?>
<table xmlns="http://schemas.openxmlformats.org/spreadsheetml/2006/main" id="62" name="Table_Default__XLS_TAB_36_2" displayName="Table_Default__XLS_TAB_36_2" ref="B9:J16" tableType="queryTable" headerRowCount="0" totalsRowShown="0" headerRowDxfId="502" dataDxfId="501" tableBorderDxfId="500" headerRowCellStyle="Normal 2" dataCellStyle="Normal 2">
  <tableColumns count="9">
    <tableColumn id="1" uniqueName="1" name="ILLITERATE_CNT" queryTableFieldId="1" headerRowDxfId="499" dataDxfId="498" headerRowCellStyle="Normal 2" dataCellStyle="Normal 2"/>
    <tableColumn id="2" uniqueName="2" name="READ_AND_WRITE_CNT" queryTableFieldId="2" headerRowDxfId="497" dataDxfId="496" headerRowCellStyle="Normal 2" dataCellStyle="Normal 2"/>
    <tableColumn id="3" uniqueName="3" name="PRIMARY_CNT" queryTableFieldId="3" headerRowDxfId="495" dataDxfId="494" headerRowCellStyle="Normal 2" dataCellStyle="Normal 2"/>
    <tableColumn id="4" uniqueName="4" name="PREPARATORY_CNT" queryTableFieldId="4" headerRowDxfId="493" dataDxfId="492" headerRowCellStyle="Normal 2" dataCellStyle="Normal 2"/>
    <tableColumn id="5" uniqueName="5" name="SECONDARY_CNT" queryTableFieldId="5" headerRowDxfId="491" dataDxfId="490" headerRowCellStyle="Normal 2" dataCellStyle="Normal 2"/>
    <tableColumn id="6" uniqueName="6" name="PRE_UNIVERSITY_CNT" queryTableFieldId="6" headerRowDxfId="489" dataDxfId="488" headerRowCellStyle="Normal 2" dataCellStyle="Normal 2"/>
    <tableColumn id="7" uniqueName="7" name="UNIV_ABOVE_CNT" queryTableFieldId="7" headerRowDxfId="487" dataDxfId="486" headerRowCellStyle="Normal 2" dataCellStyle="Normal 2"/>
    <tableColumn id="8" uniqueName="8" name="NOT_STATED_CNT" queryTableFieldId="8" headerRowDxfId="485" dataDxfId="484" headerRowCellStyle="Normal 2" dataCellStyle="Normal 2"/>
    <tableColumn id="9" uniqueName="9" name="TOTAL" queryTableFieldId="9" headerRowDxfId="483" dataDxfId="482" headerRowCellStyle="Normal 2" dataCellStyle="Normal 2"/>
  </tableColumns>
  <tableStyleInfo name="VITAL" showFirstColumn="0" showLastColumn="0" showRowStripes="1" showColumnStripes="0"/>
</table>
</file>

<file path=xl/tables/table64.xml><?xml version="1.0" encoding="utf-8"?>
<table xmlns="http://schemas.openxmlformats.org/spreadsheetml/2006/main" id="63" name="Table_Default__XLS_TAB_36_3" displayName="Table_Default__XLS_TAB_36_3" ref="B9:J16" tableType="queryTable" headerRowCount="0" totalsRowShown="0" headerRowDxfId="481" dataDxfId="480" tableBorderDxfId="479" headerRowCellStyle="Normal 2" dataCellStyle="Normal 2">
  <tableColumns count="9">
    <tableColumn id="1" uniqueName="1" name="ILLITERATE_CNT" queryTableFieldId="1" headerRowDxfId="478" dataDxfId="477" headerRowCellStyle="Normal 2" dataCellStyle="Normal 2"/>
    <tableColumn id="2" uniqueName="2" name="READ_AND_WRITE_CNT" queryTableFieldId="2" headerRowDxfId="476" dataDxfId="475" headerRowCellStyle="Normal 2" dataCellStyle="Normal 2"/>
    <tableColumn id="3" uniqueName="3" name="PRIMARY_CNT" queryTableFieldId="3" headerRowDxfId="474" dataDxfId="473" headerRowCellStyle="Normal 2" dataCellStyle="Normal 2"/>
    <tableColumn id="4" uniqueName="4" name="PREPARATORY_CNT" queryTableFieldId="4" headerRowDxfId="472" dataDxfId="471" headerRowCellStyle="Normal 2" dataCellStyle="Normal 2"/>
    <tableColumn id="5" uniqueName="5" name="SECONDARY_CNT" queryTableFieldId="5" headerRowDxfId="470" dataDxfId="469" headerRowCellStyle="Normal 2" dataCellStyle="Normal 2"/>
    <tableColumn id="6" uniqueName="6" name="PRE_UNIVERSITY_CNT" queryTableFieldId="6" headerRowDxfId="468" dataDxfId="467" headerRowCellStyle="Normal 2" dataCellStyle="Normal 2"/>
    <tableColumn id="7" uniqueName="7" name="UNIV_ABOVE_CNT" queryTableFieldId="7" headerRowDxfId="466" dataDxfId="465" headerRowCellStyle="Normal 2" dataCellStyle="Normal 2"/>
    <tableColumn id="8" uniqueName="8" name="NOT_STATED_CNT" queryTableFieldId="8" headerRowDxfId="464" dataDxfId="463" headerRowCellStyle="Normal 2" dataCellStyle="Normal 2"/>
    <tableColumn id="9" uniqueName="9" name="TOTAL" queryTableFieldId="9" headerRowDxfId="462" dataDxfId="461" headerRowCellStyle="Normal 2" dataCellStyle="Normal 2"/>
  </tableColumns>
  <tableStyleInfo name="VITAL" showFirstColumn="0" showLastColumn="0" showRowStripes="1" showColumnStripes="0"/>
</table>
</file>

<file path=xl/tables/table65.xml><?xml version="1.0" encoding="utf-8"?>
<table xmlns="http://schemas.openxmlformats.org/spreadsheetml/2006/main" id="64" name="Table_Default__XLS_TAB_37_1" displayName="Table_Default__XLS_TAB_37_1" ref="B9:J19" tableType="queryTable" headerRowCount="0" totalsRowShown="0" headerRowDxfId="460" dataDxfId="459" tableBorderDxfId="458" headerRowCellStyle="Normal 2" dataCellStyle="Normal 2">
  <tableColumns count="9">
    <tableColumn id="1" uniqueName="1" name="ILLITERATE_CNT" queryTableFieldId="1" headerRowDxfId="457" dataDxfId="456" headerRowCellStyle="Normal 2" dataCellStyle="Normal 2"/>
    <tableColumn id="2" uniqueName="2" name="READ_AND_WRITE_CNT" queryTableFieldId="2" headerRowDxfId="455" dataDxfId="454" headerRowCellStyle="Normal 2" dataCellStyle="Normal 2"/>
    <tableColumn id="3" uniqueName="3" name="PRIMARY_CNT" queryTableFieldId="3" headerRowDxfId="453" dataDxfId="452" headerRowCellStyle="Normal 2" dataCellStyle="Normal 2"/>
    <tableColumn id="4" uniqueName="4" name="PREPARATORY_CNT" queryTableFieldId="4" headerRowDxfId="451" dataDxfId="450" headerRowCellStyle="Normal 2" dataCellStyle="Normal 2"/>
    <tableColumn id="5" uniqueName="5" name="SECONDARY_CNT" queryTableFieldId="5" headerRowDxfId="449" dataDxfId="448" headerRowCellStyle="Normal 2" dataCellStyle="Normal 2"/>
    <tableColumn id="6" uniqueName="6" name="PRE_UNIVERSITY_CNT" queryTableFieldId="6" headerRowDxfId="447" dataDxfId="446" headerRowCellStyle="Normal 2" dataCellStyle="Normal 2"/>
    <tableColumn id="7" uniqueName="7" name="UNIV_ABOVE_CNT" queryTableFieldId="7" headerRowDxfId="445" dataDxfId="444" headerRowCellStyle="Normal 2" dataCellStyle="Normal 2"/>
    <tableColumn id="8" uniqueName="8" name="NOT_STATED_CNT" queryTableFieldId="8" headerRowDxfId="443" dataDxfId="442" headerRowCellStyle="Normal 2" dataCellStyle="Normal 2"/>
    <tableColumn id="9" uniqueName="9" name="TOTAL" queryTableFieldId="9" headerRowDxfId="441" dataDxfId="440" headerRowCellStyle="Normal 2" dataCellStyle="Normal 2"/>
  </tableColumns>
  <tableStyleInfo name="VITAL" showFirstColumn="0" showLastColumn="0" showRowStripes="1" showColumnStripes="0"/>
</table>
</file>

<file path=xl/tables/table66.xml><?xml version="1.0" encoding="utf-8"?>
<table xmlns="http://schemas.openxmlformats.org/spreadsheetml/2006/main" id="65" name="Table_Default__XLS_TAB_37_2" displayName="Table_Default__XLS_TAB_37_2" ref="B9:J19" tableType="queryTable" headerRowCount="0" totalsRowShown="0" headerRowDxfId="439" dataDxfId="438" tableBorderDxfId="437" headerRowCellStyle="Normal 2" dataCellStyle="Normal 2">
  <tableColumns count="9">
    <tableColumn id="1" uniqueName="1" name="ILLITERATE_CNT" queryTableFieldId="1" headerRowDxfId="436" dataDxfId="435" headerRowCellStyle="Normal 2" dataCellStyle="Normal 2"/>
    <tableColumn id="2" uniqueName="2" name="READ_AND_WRITE_CNT" queryTableFieldId="2" headerRowDxfId="434" dataDxfId="433" headerRowCellStyle="Normal 2" dataCellStyle="Normal 2"/>
    <tableColumn id="3" uniqueName="3" name="PRIMARY_CNT" queryTableFieldId="3" headerRowDxfId="432" dataDxfId="431" headerRowCellStyle="Normal 2" dataCellStyle="Normal 2"/>
    <tableColumn id="4" uniqueName="4" name="PREPARATORY_CNT" queryTableFieldId="4" headerRowDxfId="430" dataDxfId="429" headerRowCellStyle="Normal 2" dataCellStyle="Normal 2"/>
    <tableColumn id="5" uniqueName="5" name="SECONDARY_CNT" queryTableFieldId="5" headerRowDxfId="428" dataDxfId="427" headerRowCellStyle="Normal 2" dataCellStyle="Normal 2"/>
    <tableColumn id="6" uniqueName="6" name="PRE_UNIVERSITY_CNT" queryTableFieldId="6" headerRowDxfId="426" dataDxfId="425" headerRowCellStyle="Normal 2" dataCellStyle="Normal 2"/>
    <tableColumn id="7" uniqueName="7" name="UNIV_ABOVE_CNT" queryTableFieldId="7" headerRowDxfId="424" dataDxfId="423" headerRowCellStyle="Normal 2" dataCellStyle="Normal 2"/>
    <tableColumn id="8" uniqueName="8" name="NOT_STATED_CNT" queryTableFieldId="8" headerRowDxfId="422" dataDxfId="421" headerRowCellStyle="Normal 2" dataCellStyle="Normal 2"/>
    <tableColumn id="9" uniqueName="9" name="TOTAL" queryTableFieldId="9" headerRowDxfId="420" dataDxfId="419" headerRowCellStyle="Normal 2" dataCellStyle="Normal 2"/>
  </tableColumns>
  <tableStyleInfo name="VITAL" showFirstColumn="0" showLastColumn="0" showRowStripes="1" showColumnStripes="0"/>
</table>
</file>

<file path=xl/tables/table67.xml><?xml version="1.0" encoding="utf-8"?>
<table xmlns="http://schemas.openxmlformats.org/spreadsheetml/2006/main" id="66" name="Table_Default__XLS_TAB_37_3" displayName="Table_Default__XLS_TAB_37_3" ref="B9:J19" tableType="queryTable" headerRowCount="0" totalsRowShown="0" headerRowDxfId="418" dataDxfId="417" tableBorderDxfId="416" headerRowCellStyle="Normal 2" dataCellStyle="Normal 2">
  <tableColumns count="9">
    <tableColumn id="1" uniqueName="1" name="ILLITERATE_CNT" queryTableFieldId="1" headerRowDxfId="415" dataDxfId="414" headerRowCellStyle="Normal 2" dataCellStyle="Normal 2"/>
    <tableColumn id="2" uniqueName="2" name="READ_AND_WRITE_CNT" queryTableFieldId="2" headerRowDxfId="413" dataDxfId="412" headerRowCellStyle="Normal 2" dataCellStyle="Normal 2"/>
    <tableColumn id="3" uniqueName="3" name="PRIMARY_CNT" queryTableFieldId="3" headerRowDxfId="411" dataDxfId="410" headerRowCellStyle="Normal 2" dataCellStyle="Normal 2"/>
    <tableColumn id="4" uniqueName="4" name="PREPARATORY_CNT" queryTableFieldId="4" headerRowDxfId="409" dataDxfId="408" headerRowCellStyle="Normal 2" dataCellStyle="Normal 2"/>
    <tableColumn id="5" uniqueName="5" name="SECONDARY_CNT" queryTableFieldId="5" headerRowDxfId="407" dataDxfId="406" headerRowCellStyle="Normal 2" dataCellStyle="Normal 2"/>
    <tableColumn id="6" uniqueName="6" name="PRE_UNIVERSITY_CNT" queryTableFieldId="6" headerRowDxfId="405" dataDxfId="404" headerRowCellStyle="Normal 2" dataCellStyle="Normal 2"/>
    <tableColumn id="7" uniqueName="7" name="UNIV_ABOVE_CNT" queryTableFieldId="7" headerRowDxfId="403" dataDxfId="402" headerRowCellStyle="Normal 2" dataCellStyle="Normal 2"/>
    <tableColumn id="8" uniqueName="8" name="NOT_STATED_CNT" queryTableFieldId="8" headerRowDxfId="401" dataDxfId="400" headerRowCellStyle="Normal 2" dataCellStyle="Normal 2"/>
    <tableColumn id="9" uniqueName="9" name="TOTAL" queryTableFieldId="9" headerRowDxfId="399" dataDxfId="398" headerRowCellStyle="Normal 2" dataCellStyle="Normal 2"/>
  </tableColumns>
  <tableStyleInfo name="VITAL" showFirstColumn="0" showLastColumn="0" showRowStripes="1" showColumnStripes="0"/>
</table>
</file>

<file path=xl/tables/table68.xml><?xml version="1.0" encoding="utf-8"?>
<table xmlns="http://schemas.openxmlformats.org/spreadsheetml/2006/main" id="67" name="Table_Default__XLS_TAB_38_1" displayName="Table_Default__XLS_TAB_38_1" ref="A10:O21" tableType="queryTable" headerRowCount="0" totalsRowShown="0" tableBorderDxfId="397">
  <tableColumns count="15">
    <tableColumn id="1" uniqueName="1" name="JOB_ARB" queryTableFieldId="1" headerRowDxfId="396" dataDxfId="395" headerRowCellStyle="Normal 2" dataCellStyle="Normal 2"/>
    <tableColumn id="2" uniqueName="2" name="LEGISLATORS_CNT" queryTableFieldId="2" headerRowDxfId="394" dataDxfId="393" headerRowCellStyle="Normal 2" dataCellStyle="Normal 2"/>
    <tableColumn id="3" uniqueName="3" name="PROFESSIONALS_CNT" queryTableFieldId="3" headerRowDxfId="392" dataDxfId="391" headerRowCellStyle="Normal 2" dataCellStyle="Normal 2"/>
    <tableColumn id="4" uniqueName="4" name="TECHNICIANS_CNT" queryTableFieldId="4" headerRowDxfId="390" dataDxfId="389" headerRowCellStyle="Normal 2" dataCellStyle="Normal 2"/>
    <tableColumn id="5" uniqueName="5" name="CLERKS_CNT" queryTableFieldId="5" headerRowDxfId="388" dataDxfId="387" headerRowCellStyle="Normal 2" dataCellStyle="Normal 2"/>
    <tableColumn id="6" uniqueName="6" name="SERVICE_WORKERS_CNT" queryTableFieldId="6" headerRowDxfId="386" dataDxfId="385" headerRowCellStyle="Normal 2" dataCellStyle="Normal 2"/>
    <tableColumn id="7" uniqueName="7" name="SKILLED_AGRICULTURAL_CNT" queryTableFieldId="7" headerRowDxfId="384" dataDxfId="383" headerRowCellStyle="Normal 2" dataCellStyle="Normal 2"/>
    <tableColumn id="8" uniqueName="8" name="CRAFT_CNT" queryTableFieldId="8" headerRowDxfId="382" dataDxfId="381" headerRowCellStyle="Normal 2" dataCellStyle="Normal 2"/>
    <tableColumn id="9" uniqueName="9" name="PLANT_CNT" queryTableFieldId="9" headerRowDxfId="380" dataDxfId="379" headerRowCellStyle="Normal 2" dataCellStyle="Normal 2"/>
    <tableColumn id="10" uniqueName="10" name="ELEMENTARY_OCCUPATIONS_CNT" queryTableFieldId="10" headerRowDxfId="378" dataDxfId="377" headerRowCellStyle="Normal 2" dataCellStyle="Normal 2"/>
    <tableColumn id="11" uniqueName="11" name="NOT_KNOWN_CNT" queryTableFieldId="11" headerRowDxfId="376" dataDxfId="375" headerRowCellStyle="Normal 2" dataCellStyle="Normal 2"/>
    <tableColumn id="12" uniqueName="12" name="TOTAL" queryTableFieldId="12" headerRowDxfId="374" dataDxfId="373" headerRowCellStyle="Normal 2" dataCellStyle="Normal 2"/>
    <tableColumn id="13" uniqueName="13" name="NO_OCCUP" queryTableFieldId="13" headerRowDxfId="372" dataDxfId="371" headerRowCellStyle="Normal 2" dataCellStyle="Normal 2"/>
    <tableColumn id="14" uniqueName="14" name="GRND_TOTAL" queryTableFieldId="14" headerRowDxfId="370" dataDxfId="369" headerRowCellStyle="Normal 2" dataCellStyle="Normal 2"/>
    <tableColumn id="15" uniqueName="15" name="JOB_ENG" queryTableFieldId="15" headerRowDxfId="368" dataDxfId="367" headerRowCellStyle="Normal 2" dataCellStyle="Normal 2"/>
  </tableColumns>
  <tableStyleInfo name="VITAL" showFirstColumn="0" showLastColumn="0" showRowStripes="1" showColumnStripes="0"/>
</table>
</file>

<file path=xl/tables/table69.xml><?xml version="1.0" encoding="utf-8"?>
<table xmlns="http://schemas.openxmlformats.org/spreadsheetml/2006/main" id="68" name="Table_Default__XLS_TAB_38_2" displayName="Table_Default__XLS_TAB_38_2" ref="A10:O21" tableType="queryTable" headerRowCount="0" totalsRowShown="0" tableBorderDxfId="366">
  <tableColumns count="15">
    <tableColumn id="1" uniqueName="1" name="JOB_ARB" queryTableFieldId="1" headerRowDxfId="365" dataDxfId="364" headerRowCellStyle="Normal 2" dataCellStyle="Normal 2"/>
    <tableColumn id="2" uniqueName="2" name="LEGISLATORS_CNT" queryTableFieldId="2" headerRowDxfId="363" dataDxfId="362" headerRowCellStyle="Normal 2" dataCellStyle="Normal 2"/>
    <tableColumn id="3" uniqueName="3" name="PROFESSIONALS_CNT" queryTableFieldId="3" headerRowDxfId="361" dataDxfId="360" headerRowCellStyle="Normal 2" dataCellStyle="Normal 2"/>
    <tableColumn id="4" uniqueName="4" name="TECHNICIANS_CNT" queryTableFieldId="4" headerRowDxfId="359" dataDxfId="358" headerRowCellStyle="Normal 2" dataCellStyle="Normal 2"/>
    <tableColumn id="5" uniqueName="5" name="CLERKS_CNT" queryTableFieldId="5" headerRowDxfId="357" dataDxfId="356" headerRowCellStyle="Normal 2" dataCellStyle="Normal 2"/>
    <tableColumn id="6" uniqueName="6" name="SERVICE_WORKERS_CNT" queryTableFieldId="6" headerRowDxfId="355" dataDxfId="354" headerRowCellStyle="Normal 2" dataCellStyle="Normal 2"/>
    <tableColumn id="7" uniqueName="7" name="SKILLED_AGRICULTURAL_CNT" queryTableFieldId="7" headerRowDxfId="353" dataDxfId="352" headerRowCellStyle="Normal 2" dataCellStyle="Normal 2"/>
    <tableColumn id="8" uniqueName="8" name="CRAFT_CNT" queryTableFieldId="8" headerRowDxfId="351" dataDxfId="350" headerRowCellStyle="Normal 2" dataCellStyle="Normal 2"/>
    <tableColumn id="9" uniqueName="9" name="PLANT_CNT" queryTableFieldId="9" headerRowDxfId="349" dataDxfId="348" headerRowCellStyle="Normal 2" dataCellStyle="Normal 2"/>
    <tableColumn id="10" uniqueName="10" name="ELEMENTARY_OCCUPATIONS_CNT" queryTableFieldId="10" headerRowDxfId="347" dataDxfId="346" headerRowCellStyle="Normal 2" dataCellStyle="Normal 2"/>
    <tableColumn id="11" uniqueName="11" name="NOT_KNOWN_CNT" queryTableFieldId="11" headerRowDxfId="345" dataDxfId="344" headerRowCellStyle="Normal 2" dataCellStyle="Normal 2"/>
    <tableColumn id="12" uniqueName="12" name="TOTAL" queryTableFieldId="12" headerRowDxfId="343" dataDxfId="342" headerRowCellStyle="Normal 2" dataCellStyle="Normal 2"/>
    <tableColumn id="13" uniqueName="13" name="NO_OCCUP" queryTableFieldId="13" headerRowDxfId="341" dataDxfId="340" headerRowCellStyle="Normal 2" dataCellStyle="Normal 2"/>
    <tableColumn id="14" uniqueName="14" name="GRND_TOTAL" queryTableFieldId="14" headerRowDxfId="339" dataDxfId="338" headerRowCellStyle="Normal 2" dataCellStyle="Normal 2"/>
    <tableColumn id="15" uniqueName="15" name="JOB_ENG" queryTableFieldId="15" headerRowDxfId="337" dataDxfId="336" headerRowCellStyle="Normal 2" dataCellStyle="Normal 2"/>
  </tableColumns>
  <tableStyleInfo name="VITAL" showFirstColumn="0" showLastColumn="0" showRowStripes="1" showColumnStripes="0"/>
</table>
</file>

<file path=xl/tables/table7.xml><?xml version="1.0" encoding="utf-8"?>
<table xmlns="http://schemas.openxmlformats.org/spreadsheetml/2006/main" id="7" name="Table_Default__XLS_TAB_11_1" displayName="Table_Default__XLS_TAB_11_1" ref="A9:N23" tableType="queryTable" headerRowCount="0" totalsRowCount="1" headerRowDxfId="2048" dataDxfId="2047" totalsRowDxfId="2045" tableBorderDxfId="2046" totalsRowBorderDxfId="2044">
  <tableColumns count="14">
    <tableColumn id="1" uniqueName="1" name="AGE_LEVEL_HUSBD_ARB" totalsRowLabel="المجموع" queryTableFieldId="1" headerRowDxfId="2043" dataDxfId="2042" totalsRowDxfId="2041" headerRowCellStyle="Normal 2" dataCellStyle="Normal 2"/>
    <tableColumn id="2" uniqueName="2" name="AGE_LEVEL_LESS_20" totalsRowFunction="sum" queryTableFieldId="2" headerRowDxfId="2040" dataDxfId="2039" totalsRowDxfId="2038" headerRowCellStyle="Normal 2" dataCellStyle="Normal 2"/>
    <tableColumn id="3" uniqueName="3" name="AGE_LEVEL_20_24" totalsRowFunction="sum" queryTableFieldId="3" headerRowDxfId="2037" dataDxfId="2036" totalsRowDxfId="2035" headerRowCellStyle="Normal 2" dataCellStyle="Normal 2"/>
    <tableColumn id="4" uniqueName="4" name="AGE_LEVEL_25_29" totalsRowFunction="sum" queryTableFieldId="4" headerRowDxfId="2034" dataDxfId="2033" totalsRowDxfId="2032" headerRowCellStyle="Normal 2" dataCellStyle="Normal 2"/>
    <tableColumn id="5" uniqueName="5" name="AGE_LEVEL_30_34" totalsRowFunction="sum" queryTableFieldId="5" headerRowDxfId="2031" dataDxfId="2030" totalsRowDxfId="2029" headerRowCellStyle="Normal 2" dataCellStyle="Normal 2"/>
    <tableColumn id="6" uniqueName="6" name="AGE_LEVEL_35_39" totalsRowFunction="sum" queryTableFieldId="6" headerRowDxfId="2028" dataDxfId="2027" totalsRowDxfId="2026" headerRowCellStyle="Normal 2" dataCellStyle="Normal 2"/>
    <tableColumn id="7" uniqueName="7" name="AGE_LEVEL_40_44" totalsRowFunction="sum" queryTableFieldId="7" headerRowDxfId="2025" dataDxfId="2024" totalsRowDxfId="2023" headerRowCellStyle="Normal 2" dataCellStyle="Normal 2"/>
    <tableColumn id="8" uniqueName="8" name="AGE_LEVEL_45_49" totalsRowFunction="sum" queryTableFieldId="8" headerRowDxfId="2022" dataDxfId="2021" totalsRowDxfId="2020" headerRowCellStyle="Normal 2" dataCellStyle="Normal 2"/>
    <tableColumn id="9" uniqueName="9" name="AGE_LEVEL_50_54" totalsRowFunction="sum" queryTableFieldId="9" headerRowDxfId="2019" dataDxfId="2018" totalsRowDxfId="2017" headerRowCellStyle="Normal 2" dataCellStyle="Normal 2"/>
    <tableColumn id="10" uniqueName="10" name="AGE_LEVEL_55_59" totalsRowFunction="sum" queryTableFieldId="10" headerRowDxfId="2016" dataDxfId="2015" totalsRowDxfId="2014" headerRowCellStyle="Normal 2" dataCellStyle="Normal 2"/>
    <tableColumn id="11" uniqueName="11" name="AGE_LEVEL_UP_60" totalsRowFunction="sum" queryTableFieldId="11" headerRowDxfId="2013" dataDxfId="2012" totalsRowDxfId="2011" headerRowCellStyle="Normal 2" dataCellStyle="Normal 2"/>
    <tableColumn id="12" uniqueName="12" name="AGE_LEVEL_NOT_STATED" totalsRowFunction="sum" queryTableFieldId="12" headerRowDxfId="2010" dataDxfId="2009" totalsRowDxfId="2008" headerRowCellStyle="Normal 2" dataCellStyle="Normal 2"/>
    <tableColumn id="13" uniqueName="13" name="TOTAL" totalsRowFunction="sum" queryTableFieldId="13" headerRowDxfId="2007" dataDxfId="2006" totalsRowDxfId="2005" headerRowCellStyle="Normal 2" dataCellStyle="Normal 2"/>
    <tableColumn id="14" uniqueName="14" name="AGE_LEVEL_HUSBD_ENG" totalsRowLabel="Total" queryTableFieldId="14" headerRowDxfId="2004" dataDxfId="2003" totalsRowDxfId="2002" headerRowCellStyle="Normal 2" dataCellStyle="Normal 2"/>
  </tableColumns>
  <tableStyleInfo name="VITAL" showFirstColumn="0" showLastColumn="0" showRowStripes="1" showColumnStripes="0"/>
</table>
</file>

<file path=xl/tables/table70.xml><?xml version="1.0" encoding="utf-8"?>
<table xmlns="http://schemas.openxmlformats.org/spreadsheetml/2006/main" id="69" name="Table_Default__XLS_TAB_38_3" displayName="Table_Default__XLS_TAB_38_3" ref="A10:O21" tableType="queryTable" headerRowCount="0" totalsRowShown="0" tableBorderDxfId="335">
  <tableColumns count="15">
    <tableColumn id="1" uniqueName="1" name="JOB_ARB" queryTableFieldId="1" headerRowDxfId="334" dataDxfId="333" headerRowCellStyle="Normal 2" dataCellStyle="Normal 2"/>
    <tableColumn id="2" uniqueName="2" name="LEGISLATORS_CNT" queryTableFieldId="2" headerRowDxfId="332" dataDxfId="331" headerRowCellStyle="Normal 2" dataCellStyle="Normal 2"/>
    <tableColumn id="3" uniqueName="3" name="PROFESSIONALS_CNT" queryTableFieldId="3" headerRowDxfId="330" dataDxfId="329" headerRowCellStyle="Normal 2" dataCellStyle="Normal 2"/>
    <tableColumn id="4" uniqueName="4" name="TECHNICIANS_CNT" queryTableFieldId="4" headerRowDxfId="328" dataDxfId="327" headerRowCellStyle="Normal 2" dataCellStyle="Normal 2"/>
    <tableColumn id="5" uniqueName="5" name="CLERKS_CNT" queryTableFieldId="5" headerRowDxfId="326" dataDxfId="325" headerRowCellStyle="Normal 2" dataCellStyle="Normal 2"/>
    <tableColumn id="6" uniqueName="6" name="SERVICE_WORKERS_CNT" queryTableFieldId="6" headerRowDxfId="324" dataDxfId="323" headerRowCellStyle="Normal 2" dataCellStyle="Normal 2"/>
    <tableColumn id="7" uniqueName="7" name="SKILLED_AGRICULTURAL_CNT" queryTableFieldId="7" headerRowDxfId="322" dataDxfId="321" headerRowCellStyle="Normal 2" dataCellStyle="Normal 2"/>
    <tableColumn id="8" uniqueName="8" name="CRAFT_CNT" queryTableFieldId="8" headerRowDxfId="320" dataDxfId="319" headerRowCellStyle="Normal 2" dataCellStyle="Normal 2"/>
    <tableColumn id="9" uniqueName="9" name="PLANT_CNT" queryTableFieldId="9" headerRowDxfId="318" dataDxfId="317" headerRowCellStyle="Normal 2" dataCellStyle="Normal 2"/>
    <tableColumn id="10" uniqueName="10" name="ELEMENTARY_OCCUPATIONS_CNT" queryTableFieldId="10" headerRowDxfId="316" dataDxfId="315" headerRowCellStyle="Normal 2" dataCellStyle="Normal 2"/>
    <tableColumn id="11" uniqueName="11" name="NOT_KNOWN_CNT" queryTableFieldId="11" headerRowDxfId="314" dataDxfId="313" headerRowCellStyle="Normal 2" dataCellStyle="Normal 2"/>
    <tableColumn id="12" uniqueName="12" name="TOTAL" queryTableFieldId="12" headerRowDxfId="312" dataDxfId="311" headerRowCellStyle="Normal 2" dataCellStyle="Normal 2"/>
    <tableColumn id="13" uniqueName="13" name="NO_OCCUP" queryTableFieldId="13" headerRowDxfId="310" dataDxfId="309" headerRowCellStyle="Normal 2" dataCellStyle="Normal 2"/>
    <tableColumn id="14" uniqueName="14" name="GRND_TOTAL" queryTableFieldId="14" headerRowDxfId="308" dataDxfId="307" headerRowCellStyle="Normal 2" dataCellStyle="Normal 2"/>
    <tableColumn id="15" uniqueName="15" name="JOB_ENG" queryTableFieldId="15" headerRowDxfId="306" dataDxfId="305" headerRowCellStyle="Normal 2" dataCellStyle="Normal 2"/>
  </tableColumns>
  <tableStyleInfo name="VITAL" showFirstColumn="0" showLastColumn="0" showRowStripes="1" showColumnStripes="0"/>
</table>
</file>

<file path=xl/tables/table71.xml><?xml version="1.0" encoding="utf-8"?>
<table xmlns="http://schemas.openxmlformats.org/spreadsheetml/2006/main" id="71" name="Table_Default__XLS_TAB_39_1" displayName="Table_Default__XLS_TAB_39_1" ref="I9:V22" tableType="queryTable" headerRowCount="0" totalsRowShown="0" dataDxfId="304" tableBorderDxfId="303" dataCellStyle="Normal 2">
  <tableColumns count="14">
    <tableColumn id="1" uniqueName="1" name="AGE_LEVEL_HUSBD_ARB" queryTableFieldId="1" headerRowDxfId="302" dataDxfId="301" headerRowCellStyle="Normal 2" dataCellStyle="Normal 2"/>
    <tableColumn id="2" uniqueName="2" name="AGE_LEVEL_LESS_20" queryTableFieldId="2" headerRowDxfId="300" dataDxfId="299" headerRowCellStyle="Normal 2" dataCellStyle="Normal 2"/>
    <tableColumn id="3" uniqueName="3" name="AGE_LEVEL_20_24" queryTableFieldId="3" headerRowDxfId="298" dataDxfId="297" headerRowCellStyle="Normal 2" dataCellStyle="Normal 2"/>
    <tableColumn id="4" uniqueName="4" name="AGE_LEVEL_25_29" queryTableFieldId="4" headerRowDxfId="296" dataDxfId="295" headerRowCellStyle="Normal 2" dataCellStyle="Normal 2"/>
    <tableColumn id="5" uniqueName="5" name="AGE_LEVEL_30_34" queryTableFieldId="5" headerRowDxfId="294" dataDxfId="293" headerRowCellStyle="Normal 2" dataCellStyle="Normal 2"/>
    <tableColumn id="6" uniqueName="6" name="AGE_LEVEL_35_39" queryTableFieldId="6" headerRowDxfId="292" dataDxfId="291" headerRowCellStyle="Normal 2" dataCellStyle="Normal 2"/>
    <tableColumn id="7" uniqueName="7" name="AGE_LEVEL_40_44" queryTableFieldId="7" headerRowDxfId="290" dataDxfId="289" headerRowCellStyle="Normal 2" dataCellStyle="Normal 2"/>
    <tableColumn id="8" uniqueName="8" name="AGE_LEVEL_45_49" queryTableFieldId="8" headerRowDxfId="288" dataDxfId="287" headerRowCellStyle="Normal 2" dataCellStyle="Normal 2"/>
    <tableColumn id="9" uniqueName="9" name="AGE_LEVEL_50_54" queryTableFieldId="9" headerRowDxfId="286" dataDxfId="285" headerRowCellStyle="Normal 2" dataCellStyle="Normal 2"/>
    <tableColumn id="10" uniqueName="10" name="AGE_LEVEL_55_59" queryTableFieldId="10" headerRowDxfId="284" dataDxfId="283" headerRowCellStyle="Normal 2" dataCellStyle="Normal 2"/>
    <tableColumn id="11" uniqueName="11" name="AGE_LEVEL_UP_60" queryTableFieldId="11" headerRowDxfId="282" dataDxfId="281" headerRowCellStyle="Normal 2" dataCellStyle="Normal 2"/>
    <tableColumn id="12" uniqueName="12" name="AGE_LEVEL_NOT_STATED" queryTableFieldId="12" headerRowDxfId="280" dataDxfId="279" headerRowCellStyle="Normal 2" dataCellStyle="Normal 2"/>
    <tableColumn id="13" uniqueName="13" name="TOTAL" queryTableFieldId="13" headerRowDxfId="278" dataDxfId="277" headerRowCellStyle="Normal 2" dataCellStyle="Normal 2"/>
    <tableColumn id="14" uniqueName="14" name="AGE_LEVEL_HUSBD_ENG" queryTableFieldId="14" headerRowDxfId="276" dataDxfId="275" headerRowCellStyle="Normal 2" dataCellStyle="Normal 2"/>
  </tableColumns>
  <tableStyleInfo name="VITAL" showFirstColumn="0" showLastColumn="0" showRowStripes="1" showColumnStripes="0"/>
</table>
</file>

<file path=xl/tables/table72.xml><?xml version="1.0" encoding="utf-8"?>
<table xmlns="http://schemas.openxmlformats.org/spreadsheetml/2006/main" id="72" name="Table_Default__XLS_TAB_39_2" displayName="Table_Default__XLS_TAB_39_2" ref="A9:N22" tableType="queryTable" headerRowCount="0" totalsRowShown="0" dataDxfId="274" tableBorderDxfId="273" dataCellStyle="Normal 2">
  <tableColumns count="14">
    <tableColumn id="1" uniqueName="1" name="AGE_LEVEL_HUSBD_ARB" queryTableFieldId="1" headerRowDxfId="272" dataDxfId="271" headerRowCellStyle="Normal 2" dataCellStyle="Normal 2"/>
    <tableColumn id="2" uniqueName="2" name="AGE_LEVEL_LESS_20" queryTableFieldId="2" headerRowDxfId="270" dataDxfId="269" headerRowCellStyle="Normal 2" dataCellStyle="Normal 2"/>
    <tableColumn id="3" uniqueName="3" name="AGE_LEVEL_20_24" queryTableFieldId="3" headerRowDxfId="268" dataDxfId="267" headerRowCellStyle="Normal 2" dataCellStyle="Normal 2"/>
    <tableColumn id="4" uniqueName="4" name="AGE_LEVEL_25_29" queryTableFieldId="4" headerRowDxfId="266" dataDxfId="265" headerRowCellStyle="Normal 2" dataCellStyle="Normal 2"/>
    <tableColumn id="5" uniqueName="5" name="AGE_LEVEL_30_34" queryTableFieldId="5" headerRowDxfId="264" dataDxfId="263" headerRowCellStyle="Normal 2" dataCellStyle="Normal 2"/>
    <tableColumn id="6" uniqueName="6" name="AGE_LEVEL_35_39" queryTableFieldId="6" headerRowDxfId="262" dataDxfId="261" headerRowCellStyle="Normal 2" dataCellStyle="Normal 2"/>
    <tableColumn id="7" uniqueName="7" name="AGE_LEVEL_40_44" queryTableFieldId="7" headerRowDxfId="260" dataDxfId="259" headerRowCellStyle="Normal 2" dataCellStyle="Normal 2"/>
    <tableColumn id="8" uniqueName="8" name="AGE_LEVEL_45_49" queryTableFieldId="8" headerRowDxfId="258" dataDxfId="257" headerRowCellStyle="Normal 2" dataCellStyle="Normal 2"/>
    <tableColumn id="9" uniqueName="9" name="AGE_LEVEL_50_54" queryTableFieldId="9" headerRowDxfId="256" dataDxfId="255" headerRowCellStyle="Normal 2" dataCellStyle="Normal 2"/>
    <tableColumn id="10" uniqueName="10" name="AGE_LEVEL_55_59" queryTableFieldId="10" headerRowDxfId="254" dataDxfId="253" headerRowCellStyle="Normal 2" dataCellStyle="Normal 2"/>
    <tableColumn id="11" uniqueName="11" name="AGE_LEVEL_UP_60" queryTableFieldId="11" headerRowDxfId="252" dataDxfId="251" headerRowCellStyle="Normal 2" dataCellStyle="Normal 2"/>
    <tableColumn id="12" uniqueName="12" name="AGE_LEVEL_NOT_STATED" queryTableFieldId="12" headerRowDxfId="250" dataDxfId="249" headerRowCellStyle="Normal 2" dataCellStyle="Normal 2"/>
    <tableColumn id="13" uniqueName="13" name="TOTAL" queryTableFieldId="13" headerRowDxfId="248" dataDxfId="247" headerRowCellStyle="Normal 2" dataCellStyle="Normal 2"/>
    <tableColumn id="14" uniqueName="14" name="AGE_LEVEL_HUSBD_ENG" queryTableFieldId="14" headerRowDxfId="246" dataDxfId="245" headerRowCellStyle="Normal 2" dataCellStyle="Normal 2"/>
  </tableColumns>
  <tableStyleInfo name="VITAL" showFirstColumn="0" showLastColumn="0" showRowStripes="1" showColumnStripes="0"/>
</table>
</file>

<file path=xl/tables/table73.xml><?xml version="1.0" encoding="utf-8"?>
<table xmlns="http://schemas.openxmlformats.org/spreadsheetml/2006/main" id="73" name="Table_Default__XLS_TAB_39_3" displayName="Table_Default__XLS_TAB_39_3" ref="A9:N22" tableType="queryTable" headerRowCount="0" totalsRowShown="0" dataDxfId="244" tableBorderDxfId="243" dataCellStyle="Normal 2">
  <tableColumns count="14">
    <tableColumn id="1" uniqueName="1" name="AGE_LEVEL_HUSBD_ARB" queryTableFieldId="1" headerRowDxfId="242" dataDxfId="241" headerRowCellStyle="Normal 2" dataCellStyle="Normal 2"/>
    <tableColumn id="2" uniqueName="2" name="AGE_LEVEL_LESS_20" queryTableFieldId="2" headerRowDxfId="240" dataDxfId="239" headerRowCellStyle="Normal 2" dataCellStyle="Normal 2"/>
    <tableColumn id="3" uniqueName="3" name="AGE_LEVEL_20_24" queryTableFieldId="3" headerRowDxfId="238" dataDxfId="237" headerRowCellStyle="Normal 2" dataCellStyle="Normal 2"/>
    <tableColumn id="4" uniqueName="4" name="AGE_LEVEL_25_29" queryTableFieldId="4" headerRowDxfId="236" dataDxfId="235" headerRowCellStyle="Normal 2" dataCellStyle="Normal 2"/>
    <tableColumn id="5" uniqueName="5" name="AGE_LEVEL_30_34" queryTableFieldId="5" headerRowDxfId="234" dataDxfId="233" headerRowCellStyle="Normal 2" dataCellStyle="Normal 2"/>
    <tableColumn id="6" uniqueName="6" name="AGE_LEVEL_35_39" queryTableFieldId="6" headerRowDxfId="232" dataDxfId="231" headerRowCellStyle="Normal 2" dataCellStyle="Normal 2"/>
    <tableColumn id="7" uniqueName="7" name="AGE_LEVEL_40_44" queryTableFieldId="7" headerRowDxfId="230" dataDxfId="229" headerRowCellStyle="Normal 2" dataCellStyle="Normal 2"/>
    <tableColumn id="8" uniqueName="8" name="AGE_LEVEL_45_49" queryTableFieldId="8" headerRowDxfId="228" dataDxfId="227" headerRowCellStyle="Normal 2" dataCellStyle="Normal 2"/>
    <tableColumn id="9" uniqueName="9" name="AGE_LEVEL_50_54" queryTableFieldId="9" headerRowDxfId="226" dataDxfId="225" headerRowCellStyle="Normal 2" dataCellStyle="Normal 2"/>
    <tableColumn id="10" uniqueName="10" name="AGE_LEVEL_55_59" queryTableFieldId="10" headerRowDxfId="224" dataDxfId="223" headerRowCellStyle="Normal 2" dataCellStyle="Normal 2"/>
    <tableColumn id="11" uniqueName="11" name="AGE_LEVEL_UP_60" queryTableFieldId="11" headerRowDxfId="222" dataDxfId="221" headerRowCellStyle="Normal 2" dataCellStyle="Normal 2"/>
    <tableColumn id="12" uniqueName="12" name="AGE_LEVEL_NOT_STATED" queryTableFieldId="12" headerRowDxfId="220" dataDxfId="219" headerRowCellStyle="Normal 2" dataCellStyle="Normal 2"/>
    <tableColumn id="13" uniqueName="13" name="TOTAL" queryTableFieldId="13" headerRowDxfId="218" dataDxfId="217" headerRowCellStyle="Normal 2" dataCellStyle="Normal 2"/>
    <tableColumn id="14" uniqueName="14" name="AGE_LEVEL_HUSBD_ENG" queryTableFieldId="14" headerRowDxfId="216" dataDxfId="215" headerRowCellStyle="Normal 2" dataCellStyle="Normal 2"/>
  </tableColumns>
  <tableStyleInfo name="VITAL" showFirstColumn="0" showLastColumn="0" showRowStripes="1" showColumnStripes="0"/>
</table>
</file>

<file path=xl/tables/table74.xml><?xml version="1.0" encoding="utf-8"?>
<table xmlns="http://schemas.openxmlformats.org/spreadsheetml/2006/main" id="70" name="Table_Default__XLS_TAB_40_1" displayName="Table_Default__XLS_TAB_40_1" ref="B9:M22" tableType="queryTable" headerRowCount="0" totalsRowShown="0" headerRowDxfId="214" dataDxfId="213">
  <tableColumns count="12">
    <tableColumn id="1" uniqueName="1" name="AGE_LEVEL_LESS_20" queryTableFieldId="1" headerRowDxfId="212" dataDxfId="211" headerRowCellStyle="Normal 2" dataCellStyle="Normal 2"/>
    <tableColumn id="2" uniqueName="2" name="AGE_LEVEL_20_24" queryTableFieldId="2" headerRowDxfId="210" dataDxfId="209" headerRowCellStyle="Normal 2" dataCellStyle="Normal 2"/>
    <tableColumn id="3" uniqueName="3" name="AGE_LEVEL_25_29" queryTableFieldId="3" headerRowDxfId="208" dataDxfId="207" headerRowCellStyle="Normal 2" dataCellStyle="Normal 2"/>
    <tableColumn id="4" uniqueName="4" name="AGE_LEVEL_30_34" queryTableFieldId="4" headerRowDxfId="206" dataDxfId="205" headerRowCellStyle="Normal 2" dataCellStyle="Normal 2"/>
    <tableColumn id="5" uniqueName="5" name="AGE_LEVEL_35_39" queryTableFieldId="5" headerRowDxfId="204" dataDxfId="203" headerRowCellStyle="Normal 2" dataCellStyle="Normal 2"/>
    <tableColumn id="6" uniqueName="6" name="AGE_LEVEL_40_44" queryTableFieldId="6" headerRowDxfId="202" dataDxfId="201" headerRowCellStyle="Normal 2" dataCellStyle="Normal 2"/>
    <tableColumn id="7" uniqueName="7" name="AGE_LEVEL_45_49" queryTableFieldId="7" headerRowDxfId="200" dataDxfId="199" headerRowCellStyle="Normal 2" dataCellStyle="Normal 2"/>
    <tableColumn id="8" uniqueName="8" name="AGE_LEVEL_50_54" queryTableFieldId="8" headerRowDxfId="198" dataDxfId="197" headerRowCellStyle="Normal 2" dataCellStyle="Normal 2"/>
    <tableColumn id="9" uniqueName="9" name="AGE_LEVEL_55_59" queryTableFieldId="9" headerRowDxfId="196" dataDxfId="195" headerRowCellStyle="Normal 2" dataCellStyle="Normal 2"/>
    <tableColumn id="10" uniqueName="10" name="AGE_LEVEL_UP_60" queryTableFieldId="10" headerRowDxfId="194" dataDxfId="193" headerRowCellStyle="Normal 2" dataCellStyle="Normal 2"/>
    <tableColumn id="11" uniqueName="11" name="AGE_LEVEL_NOT_STATED" queryTableFieldId="11" headerRowDxfId="192" dataDxfId="191" headerRowCellStyle="Normal 2" dataCellStyle="Normal 2"/>
    <tableColumn id="12" uniqueName="12" name="TOTAL" queryTableFieldId="12" headerRowDxfId="190" dataDxfId="189" headerRowCellStyle="Normal 2" dataCellStyle="Normal 2"/>
  </tableColumns>
  <tableStyleInfo name="VITAL" showFirstColumn="0" showLastColumn="0" showRowStripes="1" showColumnStripes="0"/>
</table>
</file>

<file path=xl/tables/table75.xml><?xml version="1.0" encoding="utf-8"?>
<table xmlns="http://schemas.openxmlformats.org/spreadsheetml/2006/main" id="74" name="Table_Default__XLS_TAB_40_2" displayName="Table_Default__XLS_TAB_40_2" ref="B9:M22" tableType="queryTable" headerRowCount="0" totalsRowShown="0" headerRowDxfId="188" dataDxfId="187" tableBorderDxfId="186" headerRowCellStyle="Normal 2" dataCellStyle="Normal 2">
  <tableColumns count="12">
    <tableColumn id="1" uniqueName="1" name="AGE_LEVEL_LESS_20" queryTableFieldId="1" headerRowDxfId="185" dataDxfId="184" headerRowCellStyle="Normal 2" dataCellStyle="Normal 2"/>
    <tableColumn id="2" uniqueName="2" name="AGE_LEVEL_20_24" queryTableFieldId="2" headerRowDxfId="183" dataDxfId="182" headerRowCellStyle="Normal 2" dataCellStyle="Normal 2"/>
    <tableColumn id="3" uniqueName="3" name="AGE_LEVEL_25_29" queryTableFieldId="3" headerRowDxfId="181" dataDxfId="180" headerRowCellStyle="Normal 2" dataCellStyle="Normal 2"/>
    <tableColumn id="4" uniqueName="4" name="AGE_LEVEL_30_34" queryTableFieldId="4" headerRowDxfId="179" dataDxfId="178" headerRowCellStyle="Normal 2" dataCellStyle="Normal 2"/>
    <tableColumn id="5" uniqueName="5" name="AGE_LEVEL_35_39" queryTableFieldId="5" headerRowDxfId="177" dataDxfId="176" headerRowCellStyle="Normal 2" dataCellStyle="Normal 2"/>
    <tableColumn id="6" uniqueName="6" name="AGE_LEVEL_40_44" queryTableFieldId="6" headerRowDxfId="175" dataDxfId="174" headerRowCellStyle="Normal 2" dataCellStyle="Normal 2"/>
    <tableColumn id="7" uniqueName="7" name="AGE_LEVEL_45_49" queryTableFieldId="7" headerRowDxfId="173" dataDxfId="172" headerRowCellStyle="Normal 2" dataCellStyle="Normal 2"/>
    <tableColumn id="8" uniqueName="8" name="AGE_LEVEL_50_54" queryTableFieldId="8" headerRowDxfId="171" dataDxfId="170" headerRowCellStyle="Normal 2" dataCellStyle="Normal 2"/>
    <tableColumn id="9" uniqueName="9" name="AGE_LEVEL_55_59" queryTableFieldId="9" headerRowDxfId="169" dataDxfId="168" headerRowCellStyle="Normal 2" dataCellStyle="Normal 2"/>
    <tableColumn id="10" uniqueName="10" name="AGE_LEVEL_UP_60" queryTableFieldId="10" headerRowDxfId="167" dataDxfId="166" headerRowCellStyle="Normal 2" dataCellStyle="Normal 2"/>
    <tableColumn id="11" uniqueName="11" name="AGE_LEVEL_NOT_STATED" queryTableFieldId="11" headerRowDxfId="165" dataDxfId="164" headerRowCellStyle="Normal 2" dataCellStyle="Normal 2"/>
    <tableColumn id="12" uniqueName="12" name="TOTAL" queryTableFieldId="12" headerRowDxfId="163" dataDxfId="162" headerRowCellStyle="Normal 2" dataCellStyle="Normal 2"/>
  </tableColumns>
  <tableStyleInfo name="VITAL" showFirstColumn="0" showLastColumn="0" showRowStripes="1" showColumnStripes="0"/>
</table>
</file>

<file path=xl/tables/table76.xml><?xml version="1.0" encoding="utf-8"?>
<table xmlns="http://schemas.openxmlformats.org/spreadsheetml/2006/main" id="75" name="Table_Default__XLS_TAB_40_3" displayName="Table_Default__XLS_TAB_40_3" ref="B9:M22" tableType="queryTable" headerRowCount="0" totalsRowShown="0" headerRowDxfId="161" dataDxfId="160" tableBorderDxfId="159" dataCellStyle="Normal 2">
  <tableColumns count="12">
    <tableColumn id="1" uniqueName="1" name="AGE_LEVEL_LESS_20" queryTableFieldId="1" headerRowDxfId="158" dataDxfId="157" headerRowCellStyle="Normal 2" dataCellStyle="Normal 2"/>
    <tableColumn id="2" uniqueName="2" name="AGE_LEVEL_20_24" queryTableFieldId="2" headerRowDxfId="156" dataDxfId="155" headerRowCellStyle="Normal 2" dataCellStyle="Normal 2"/>
    <tableColumn id="3" uniqueName="3" name="AGE_LEVEL_25_29" queryTableFieldId="3" headerRowDxfId="154" dataDxfId="153" headerRowCellStyle="Normal 2" dataCellStyle="Normal 2"/>
    <tableColumn id="4" uniqueName="4" name="AGE_LEVEL_30_34" queryTableFieldId="4" headerRowDxfId="152" dataDxfId="151" headerRowCellStyle="Normal 2" dataCellStyle="Normal 2"/>
    <tableColumn id="5" uniqueName="5" name="AGE_LEVEL_35_39" queryTableFieldId="5" headerRowDxfId="150" dataDxfId="149" headerRowCellStyle="Normal 2" dataCellStyle="Normal 2"/>
    <tableColumn id="6" uniqueName="6" name="AGE_LEVEL_40_44" queryTableFieldId="6" headerRowDxfId="148" dataDxfId="147" headerRowCellStyle="Normal 2" dataCellStyle="Normal 2"/>
    <tableColumn id="7" uniqueName="7" name="AGE_LEVEL_45_49" queryTableFieldId="7" headerRowDxfId="146" dataDxfId="145" headerRowCellStyle="Normal 2" dataCellStyle="Normal 2"/>
    <tableColumn id="8" uniqueName="8" name="AGE_LEVEL_50_54" queryTableFieldId="8" headerRowDxfId="144" dataDxfId="143" headerRowCellStyle="Normal 2" dataCellStyle="Normal 2"/>
    <tableColumn id="9" uniqueName="9" name="AGE_LEVEL_55_59" queryTableFieldId="9" headerRowDxfId="142" dataDxfId="141" headerRowCellStyle="Normal 2" dataCellStyle="Normal 2"/>
    <tableColumn id="10" uniqueName="10" name="AGE_LEVEL_UP_60" queryTableFieldId="10" headerRowDxfId="140" dataDxfId="139" headerRowCellStyle="Normal 2" dataCellStyle="Normal 2"/>
    <tableColumn id="11" uniqueName="11" name="AGE_LEVEL_NOT_STATED" queryTableFieldId="11" headerRowDxfId="138" dataDxfId="137" headerRowCellStyle="Normal 2" dataCellStyle="Normal 2"/>
    <tableColumn id="12" uniqueName="12" name="TOTAL" queryTableFieldId="12" headerRowDxfId="136" dataDxfId="135" headerRowCellStyle="Normal 2" dataCellStyle="Normal 2"/>
  </tableColumns>
  <tableStyleInfo name="VITAL" showFirstColumn="0" showLastColumn="0" showRowStripes="1" showColumnStripes="0"/>
</table>
</file>

<file path=xl/tables/table77.xml><?xml version="1.0" encoding="utf-8"?>
<table xmlns="http://schemas.openxmlformats.org/spreadsheetml/2006/main" id="76" name="Table_Default__XLS_TAB_41_1" displayName="Table_Default__XLS_TAB_41_1" ref="B9:J19" tableType="queryTable" headerRowCount="0" totalsRowShown="0" headerRowDxfId="134" dataDxfId="133" tableBorderDxfId="132" headerRowCellStyle="Normal 2" dataCellStyle="Normal 2">
  <tableColumns count="9">
    <tableColumn id="1" uniqueName="1" name="SON_CNT_0" queryTableFieldId="1" headerRowDxfId="131" dataDxfId="130" headerRowCellStyle="Normal 2" dataCellStyle="Normal 2"/>
    <tableColumn id="2" uniqueName="2" name="SON_CNT_1" queryTableFieldId="2" headerRowDxfId="129" dataDxfId="128" headerRowCellStyle="Normal 2" dataCellStyle="Normal 2"/>
    <tableColumn id="3" uniqueName="3" name="SON_CNT_2" queryTableFieldId="3" headerRowDxfId="127" dataDxfId="126" headerRowCellStyle="Normal 2" dataCellStyle="Normal 2"/>
    <tableColumn id="4" uniqueName="4" name="SON_CNT_3" queryTableFieldId="4" headerRowDxfId="125" dataDxfId="124" headerRowCellStyle="Normal 2" dataCellStyle="Normal 2"/>
    <tableColumn id="5" uniqueName="5" name="SON_CNT_4" queryTableFieldId="5" headerRowDxfId="123" dataDxfId="122" headerRowCellStyle="Normal 2" dataCellStyle="Normal 2"/>
    <tableColumn id="6" uniqueName="6" name="SON_CNT_5" queryTableFieldId="6" headerRowDxfId="121" dataDxfId="120" headerRowCellStyle="Normal 2" dataCellStyle="Normal 2"/>
    <tableColumn id="7" uniqueName="7" name="SON_CNT_UP_6" queryTableFieldId="7" headerRowDxfId="119" dataDxfId="118" headerRowCellStyle="Normal 2" dataCellStyle="Normal 2"/>
    <tableColumn id="8" uniqueName="8" name="SON_CNT_NOT_STATED" queryTableFieldId="8" headerRowDxfId="117" dataDxfId="116" headerRowCellStyle="Normal 2" dataCellStyle="Normal 2"/>
    <tableColumn id="9" uniqueName="9" name="TOTAL" queryTableFieldId="9" headerRowDxfId="115" dataDxfId="114" headerRowCellStyle="Normal 2" dataCellStyle="Normal 2"/>
  </tableColumns>
  <tableStyleInfo name="VITAL" showFirstColumn="0" showLastColumn="0" showRowStripes="1" showColumnStripes="0"/>
</table>
</file>

<file path=xl/tables/table78.xml><?xml version="1.0" encoding="utf-8"?>
<table xmlns="http://schemas.openxmlformats.org/spreadsheetml/2006/main" id="77" name="Table_Default__XLS_TAB_41_2" displayName="Table_Default__XLS_TAB_41_2" ref="B9:J19" tableType="queryTable" headerRowCount="0" totalsRowShown="0" headerRowDxfId="113" dataDxfId="112" tableBorderDxfId="111" headerRowCellStyle="Normal 2" dataCellStyle="Normal 2">
  <tableColumns count="9">
    <tableColumn id="1" uniqueName="1" name="SON_CNT_0" queryTableFieldId="1" headerRowDxfId="110" dataDxfId="109" headerRowCellStyle="Normal 2" dataCellStyle="Normal 2"/>
    <tableColumn id="2" uniqueName="2" name="SON_CNT_1" queryTableFieldId="2" headerRowDxfId="108" dataDxfId="107" headerRowCellStyle="Normal 2" dataCellStyle="Normal 2"/>
    <tableColumn id="3" uniqueName="3" name="SON_CNT_2" queryTableFieldId="3" headerRowDxfId="106" dataDxfId="105" headerRowCellStyle="Normal 2" dataCellStyle="Normal 2"/>
    <tableColumn id="4" uniqueName="4" name="SON_CNT_3" queryTableFieldId="4" headerRowDxfId="104" dataDxfId="103" headerRowCellStyle="Normal 2" dataCellStyle="Normal 2"/>
    <tableColumn id="5" uniqueName="5" name="SON_CNT_4" queryTableFieldId="5" headerRowDxfId="102" dataDxfId="101" headerRowCellStyle="Normal 2" dataCellStyle="Normal 2"/>
    <tableColumn id="6" uniqueName="6" name="SON_CNT_5" queryTableFieldId="6" headerRowDxfId="100" dataDxfId="99" headerRowCellStyle="Normal 2" dataCellStyle="Normal 2"/>
    <tableColumn id="7" uniqueName="7" name="SON_CNT_UP_6" queryTableFieldId="7" headerRowDxfId="98" dataDxfId="97" headerRowCellStyle="Normal 2" dataCellStyle="Normal 2"/>
    <tableColumn id="8" uniqueName="8" name="SON_CNT_NOT_STATED" queryTableFieldId="8" headerRowDxfId="96" dataDxfId="95" headerRowCellStyle="Normal 2" dataCellStyle="Normal 2"/>
    <tableColumn id="9" uniqueName="9" name="TOTAL" queryTableFieldId="9" headerRowDxfId="94" dataDxfId="93" headerRowCellStyle="Normal 2" dataCellStyle="Normal 2"/>
  </tableColumns>
  <tableStyleInfo name="VITAL" showFirstColumn="0" showLastColumn="0" showRowStripes="1" showColumnStripes="0"/>
</table>
</file>

<file path=xl/tables/table79.xml><?xml version="1.0" encoding="utf-8"?>
<table xmlns="http://schemas.openxmlformats.org/spreadsheetml/2006/main" id="78" name="Table_Default__XLS_TAB_41_3" displayName="Table_Default__XLS_TAB_41_3" ref="B9:J19" tableType="queryTable" headerRowCount="0" totalsRowShown="0" headerRowDxfId="92" dataDxfId="91" tableBorderDxfId="90" headerRowCellStyle="Normal 2" dataCellStyle="Normal 2">
  <tableColumns count="9">
    <tableColumn id="1" uniqueName="1" name="SON_CNT_0" queryTableFieldId="1" headerRowDxfId="89" dataDxfId="88" headerRowCellStyle="Normal 2" dataCellStyle="Normal 2"/>
    <tableColumn id="2" uniqueName="2" name="SON_CNT_1" queryTableFieldId="2" headerRowDxfId="87" dataDxfId="86" headerRowCellStyle="Normal 2" dataCellStyle="Normal 2"/>
    <tableColumn id="3" uniqueName="3" name="SON_CNT_2" queryTableFieldId="3" headerRowDxfId="85" dataDxfId="84" headerRowCellStyle="Normal 2" dataCellStyle="Normal 2"/>
    <tableColumn id="4" uniqueName="4" name="SON_CNT_3" queryTableFieldId="4" headerRowDxfId="83" dataDxfId="82" headerRowCellStyle="Normal 2" dataCellStyle="Normal 2"/>
    <tableColumn id="5" uniqueName="5" name="SON_CNT_4" queryTableFieldId="5" headerRowDxfId="81" dataDxfId="80" headerRowCellStyle="Normal 2" dataCellStyle="Normal 2"/>
    <tableColumn id="6" uniqueName="6" name="SON_CNT_5" queryTableFieldId="6" headerRowDxfId="79" dataDxfId="78" headerRowCellStyle="Normal 2" dataCellStyle="Normal 2"/>
    <tableColumn id="7" uniqueName="7" name="SON_CNT_UP_6" queryTableFieldId="7" headerRowDxfId="77" dataDxfId="76" headerRowCellStyle="Normal 2" dataCellStyle="Normal 2"/>
    <tableColumn id="8" uniqueName="8" name="SON_CNT_NOT_STATED" queryTableFieldId="8" headerRowDxfId="75" dataDxfId="74" headerRowCellStyle="Normal 2" dataCellStyle="Normal 2"/>
    <tableColumn id="9" uniqueName="9" name="TOTAL" queryTableFieldId="9" headerRowDxfId="73" dataDxfId="72" headerRowCellStyle="Normal 2" dataCellStyle="Normal 2"/>
  </tableColumns>
  <tableStyleInfo name="VITAL" showFirstColumn="0" showLastColumn="0" showRowStripes="1" showColumnStripes="0"/>
</table>
</file>

<file path=xl/tables/table8.xml><?xml version="1.0" encoding="utf-8"?>
<table xmlns="http://schemas.openxmlformats.org/spreadsheetml/2006/main" id="8" name="Table_Default__XLS_TAB_11_2" displayName="Table_Default__XLS_TAB_11_2" ref="A9:N23" tableType="queryTable" headerRowCount="0" totalsRowCount="1" dataDxfId="2001" totalsRowDxfId="1999" tableBorderDxfId="2000" totalsRowBorderDxfId="1998" dataCellStyle="Normal 2">
  <tableColumns count="14">
    <tableColumn id="1" uniqueName="1" name="AGE_LEVEL_HUSBD_ARB" totalsRowLabel="المجموع" queryTableFieldId="1" headerRowDxfId="1997" dataDxfId="1996" totalsRowDxfId="1995" headerRowCellStyle="Normal 2" dataCellStyle="Normal 2"/>
    <tableColumn id="2" uniqueName="2" name="AGE_LEVEL_LESS_20" totalsRowFunction="sum" queryTableFieldId="2" headerRowDxfId="1994" dataDxfId="1993" totalsRowDxfId="1992" headerRowCellStyle="Normal 2" dataCellStyle="Normal 2"/>
    <tableColumn id="3" uniqueName="3" name="AGE_LEVEL_20_24" totalsRowFunction="sum" queryTableFieldId="3" headerRowDxfId="1991" dataDxfId="1990" totalsRowDxfId="1989" headerRowCellStyle="Normal 2" dataCellStyle="Normal 2"/>
    <tableColumn id="4" uniqueName="4" name="AGE_LEVEL_25_29" totalsRowFunction="sum" queryTableFieldId="4" headerRowDxfId="1988" dataDxfId="1987" totalsRowDxfId="1986" headerRowCellStyle="Normal 2" dataCellStyle="Normal 2"/>
    <tableColumn id="5" uniqueName="5" name="AGE_LEVEL_30_34" totalsRowFunction="sum" queryTableFieldId="5" headerRowDxfId="1985" dataDxfId="1984" totalsRowDxfId="1983" headerRowCellStyle="Normal 2" dataCellStyle="Normal 2"/>
    <tableColumn id="6" uniqueName="6" name="AGE_LEVEL_35_39" totalsRowFunction="sum" queryTableFieldId="6" headerRowDxfId="1982" dataDxfId="1981" totalsRowDxfId="1980" headerRowCellStyle="Normal 2" dataCellStyle="Normal 2"/>
    <tableColumn id="7" uniqueName="7" name="AGE_LEVEL_40_44" totalsRowFunction="sum" queryTableFieldId="7" headerRowDxfId="1979" dataDxfId="1978" totalsRowDxfId="1977" headerRowCellStyle="Normal 2" dataCellStyle="Normal 2"/>
    <tableColumn id="8" uniqueName="8" name="AGE_LEVEL_45_49" totalsRowFunction="sum" queryTableFieldId="8" headerRowDxfId="1976" dataDxfId="1975" totalsRowDxfId="1974" headerRowCellStyle="Normal 2" dataCellStyle="Normal 2"/>
    <tableColumn id="9" uniqueName="9" name="AGE_LEVEL_50_54" totalsRowFunction="sum" queryTableFieldId="9" headerRowDxfId="1973" dataDxfId="1972" totalsRowDxfId="1971" headerRowCellStyle="Normal 2" dataCellStyle="Normal 2"/>
    <tableColumn id="10" uniqueName="10" name="AGE_LEVEL_55_59" totalsRowFunction="sum" queryTableFieldId="10" headerRowDxfId="1970" dataDxfId="1969" totalsRowDxfId="1968" headerRowCellStyle="Normal 2" dataCellStyle="Normal 2"/>
    <tableColumn id="11" uniqueName="11" name="AGE_LEVEL_UP_60" totalsRowFunction="sum" queryTableFieldId="11" headerRowDxfId="1967" dataDxfId="1966" totalsRowDxfId="1965" headerRowCellStyle="Normal 2" dataCellStyle="Normal 2"/>
    <tableColumn id="12" uniqueName="12" name="AGE_LEVEL_NOT_STATED" totalsRowFunction="sum" queryTableFieldId="12" headerRowDxfId="1964" dataDxfId="1963" totalsRowDxfId="1962" headerRowCellStyle="Normal 2" dataCellStyle="Normal 2"/>
    <tableColumn id="13" uniqueName="13" name="TOTAL" totalsRowFunction="sum" queryTableFieldId="13" headerRowDxfId="1961" dataDxfId="1960" totalsRowDxfId="1959" headerRowCellStyle="Normal 2" dataCellStyle="Normal 2"/>
    <tableColumn id="14" uniqueName="14" name="AGE_LEVEL_HUSBD_ENG" totalsRowLabel="Total" queryTableFieldId="14" headerRowDxfId="1958" dataDxfId="1957" totalsRowDxfId="1956" headerRowCellStyle="Normal 2" dataCellStyle="Normal 2"/>
  </tableColumns>
  <tableStyleInfo name="VITAL" showFirstColumn="0" showLastColumn="0" showRowStripes="1" showColumnStripes="0"/>
</table>
</file>

<file path=xl/tables/table80.xml><?xml version="1.0" encoding="utf-8"?>
<table xmlns="http://schemas.openxmlformats.org/spreadsheetml/2006/main" id="79" name="Table_Default__XLS_TAB_42" displayName="Table_Default__XLS_TAB_42" ref="C8:J15" tableType="queryTable" headerRowCount="0" totalsRowShown="0" headerRowDxfId="71" dataDxfId="70" tableBorderDxfId="69" headerRowCellStyle="Normal 2" dataCellStyle="Normal 2">
  <tableColumns count="8">
    <tableColumn id="1" uniqueName="1" name="CNT_0" queryTableFieldId="1" headerRowDxfId="68" dataDxfId="67" headerRowCellStyle="Normal 2" dataCellStyle="Normal 2"/>
    <tableColumn id="2" uniqueName="2" name="CNT_1" queryTableFieldId="2" headerRowDxfId="66" dataDxfId="65" headerRowCellStyle="Normal 2" dataCellStyle="Normal 2"/>
    <tableColumn id="3" uniqueName="3" name="CNT_2" queryTableFieldId="3" headerRowDxfId="64" dataDxfId="63" headerRowCellStyle="Normal 2" dataCellStyle="Normal 2"/>
    <tableColumn id="4" uniqueName="4" name="CNT_3" queryTableFieldId="4" headerRowDxfId="62" dataDxfId="61" headerRowCellStyle="Normal 2" dataCellStyle="Normal 2"/>
    <tableColumn id="5" uniqueName="5" name="CNT_4" queryTableFieldId="5" headerRowDxfId="60" dataDxfId="59" headerRowCellStyle="Normal 2" dataCellStyle="Normal 2"/>
    <tableColumn id="6" uniqueName="6" name="CNT_5" queryTableFieldId="6" headerRowDxfId="58" dataDxfId="57" headerRowCellStyle="Normal 2" dataCellStyle="Normal 2"/>
    <tableColumn id="7" uniqueName="7" name="CNT_6" queryTableFieldId="7" headerRowDxfId="56" dataDxfId="55" headerRowCellStyle="Normal 2" dataCellStyle="Normal 2"/>
    <tableColumn id="8" uniqueName="8" name="NOT_STATED" queryTableFieldId="8" headerRowDxfId="54" dataDxfId="53" headerRowCellStyle="Normal 2" dataCellStyle="Normal 2"/>
  </tableColumns>
  <tableStyleInfo name="VITAL" showFirstColumn="0" showLastColumn="0" showRowStripes="1" showColumnStripes="0"/>
</table>
</file>

<file path=xl/tables/table81.xml><?xml version="1.0" encoding="utf-8"?>
<table xmlns="http://schemas.openxmlformats.org/spreadsheetml/2006/main" id="81" name="Table_Default__XLS_TAB_43" displayName="Table_Default__XLS_TAB_43" ref="A8:L19" tableType="queryTable" headerRowCount="0" totalsRowShown="0" headerRowDxfId="52" tableBorderDxfId="51" headerRowCellStyle="Normal 2">
  <tableColumns count="12">
    <tableColumn id="1" uniqueName="1" name="MARRD_PRD_HUSBD_ARB" queryTableFieldId="1" headerRowDxfId="50" dataDxfId="49" headerRowCellStyle="Normal 2" dataCellStyle="TXT1"/>
    <tableColumn id="2" uniqueName="2" name="CAT_1_SON_CNT" queryTableFieldId="2" headerRowDxfId="48" dataDxfId="47" headerRowCellStyle="Normal 2" dataCellStyle="Normal 2"/>
    <tableColumn id="3" uniqueName="3" name="CAT_1_CASE_CNT" queryTableFieldId="3" headerRowDxfId="46" dataDxfId="45" headerRowCellStyle="Normal 2" dataCellStyle="Normal 2"/>
    <tableColumn id="4" uniqueName="4" name="CAT_2_SON_CNT" queryTableFieldId="4" headerRowDxfId="44" dataDxfId="43" headerRowCellStyle="Normal 2" dataCellStyle="Normal 2"/>
    <tableColumn id="5" uniqueName="5" name="CAT_2_CASE_CNT" queryTableFieldId="5" headerRowDxfId="42" dataDxfId="41" headerRowCellStyle="Normal 2" dataCellStyle="Normal 2"/>
    <tableColumn id="6" uniqueName="6" name="CAT_3_SON_CNT" queryTableFieldId="6" headerRowDxfId="40" dataDxfId="39" headerRowCellStyle="Normal 2" dataCellStyle="Normal 2"/>
    <tableColumn id="7" uniqueName="7" name="CAT_3_CASE_CNT" queryTableFieldId="7" headerRowDxfId="38" dataDxfId="37" headerRowCellStyle="Normal 2" dataCellStyle="Normal 2"/>
    <tableColumn id="8" uniqueName="8" name="CAT_4_SON_CNT" queryTableFieldId="8" headerRowDxfId="36" dataDxfId="35" headerRowCellStyle="Normal 2" dataCellStyle="Normal 2"/>
    <tableColumn id="9" uniqueName="9" name="CAT_4_CASE_CNT" queryTableFieldId="9" headerRowDxfId="34" dataDxfId="33" headerRowCellStyle="Normal 2" dataCellStyle="Normal 2"/>
    <tableColumn id="10" uniqueName="10" name="CAT_TOT_SON_CNT" queryTableFieldId="10" headerRowDxfId="32" dataDxfId="31" headerRowCellStyle="Normal 2" dataCellStyle="Normal 2"/>
    <tableColumn id="11" uniqueName="11" name="CAT_TOT_CASE_CNT" queryTableFieldId="11" headerRowDxfId="30" dataDxfId="29" headerRowCellStyle="Normal 2" dataCellStyle="Normal 2"/>
    <tableColumn id="12" uniqueName="12" name="MARRD_PRD_HUSBD_ENG" queryTableFieldId="12" headerRowDxfId="28" dataDxfId="27" headerRowCellStyle="Normal 2" dataCellStyle="TXT1"/>
  </tableColumns>
  <tableStyleInfo name="VITAL" showFirstColumn="0" showLastColumn="0" showRowStripes="1" showColumnStripes="0"/>
</table>
</file>

<file path=xl/tables/table82.xml><?xml version="1.0" encoding="utf-8"?>
<table xmlns="http://schemas.openxmlformats.org/spreadsheetml/2006/main" id="83" name="Table_Default__XLS_TAB_27_284" displayName="Table_Default__XLS_TAB_27_284" ref="A7:E13" tableType="queryTable" headerRowCount="0" totalsRowShown="0" headerRowDxfId="26" dataDxfId="25" tableBorderDxfId="24" headerRowCellStyle="Normal 2" dataCellStyle="Normal 2">
  <tableColumns count="5">
    <tableColumn id="1" uniqueName="1" name="MARR_PRD_ARB" queryTableFieldId="1" headerRowDxfId="23" dataDxfId="22" totalsRowDxfId="21" headerRowCellStyle="Normal 2" dataCellStyle="TXT1"/>
    <tableColumn id="2" uniqueName="2" name="QATARI_SON_CNT" queryTableFieldId="2" headerRowDxfId="20" dataDxfId="19" headerRowCellStyle="Normal 2" dataCellStyle="Normal 2"/>
    <tableColumn id="3" uniqueName="3" name="NON_QATARI_SON_CNT" queryTableFieldId="3" headerRowDxfId="18" dataDxfId="17" headerRowCellStyle="Normal 2" dataCellStyle="Normal 2"/>
    <tableColumn id="4" uniqueName="4" name="TOTAL" queryTableFieldId="4" headerRowDxfId="16" dataDxfId="15" headerRowCellStyle="Normal 2" dataCellStyle="Normal 2"/>
    <tableColumn id="5" uniqueName="5" name="MARR_PRD_ENG" queryTableFieldId="5" headerRowDxfId="14" dataDxfId="13" totalsRowDxfId="12" headerRowCellStyle="Normal 2" dataCellStyle="TXT1"/>
  </tableColumns>
  <tableStyleInfo name="VITAL" showFirstColumn="0" showLastColumn="0" showRowStripes="1" showColumnStripes="0"/>
</table>
</file>

<file path=xl/tables/table83.xml><?xml version="1.0" encoding="utf-8"?>
<table xmlns="http://schemas.openxmlformats.org/spreadsheetml/2006/main" id="84" name="Table_Default__XLS_TAB_48" displayName="Table_Default__XLS_TAB_48" ref="A7:E13" tableType="queryTable" headerRowCount="0" totalsRowShown="0" headerRowDxfId="11" tableBorderDxfId="10" headerRowCellStyle="Normal 2">
  <tableColumns count="5">
    <tableColumn id="1" uniqueName="1" name="MARR_PRD_ARB" queryTableFieldId="1" headerRowDxfId="9" dataDxfId="8" headerRowCellStyle="Normal 2" dataCellStyle="TXT1"/>
    <tableColumn id="2" uniqueName="2" name="QATARI_SON_CNT" queryTableFieldId="2" headerRowDxfId="7" dataDxfId="6" headerRowCellStyle="Normal 2" dataCellStyle="Normal 2"/>
    <tableColumn id="3" uniqueName="3" name="NON_QATARI_SON_CNT" queryTableFieldId="3" headerRowDxfId="5" dataDxfId="4" headerRowCellStyle="Normal 2" dataCellStyle="Normal 2"/>
    <tableColumn id="4" uniqueName="4" name="TOTAL" queryTableFieldId="4" headerRowDxfId="3" dataDxfId="2" headerRowCellStyle="Normal 2" dataCellStyle="Normal 2">
      <calculatedColumnFormula>Table_Default__XLS_TAB_48[[#This Row],[QATARI_SON_CNT]]+Table_Default__XLS_TAB_48[[#This Row],[NON_QATARI_SON_CNT]]</calculatedColumnFormula>
    </tableColumn>
    <tableColumn id="5" uniqueName="5" name="MARR_PRD_ENG" queryTableFieldId="5" headerRowDxfId="1" dataDxfId="0" headerRowCellStyle="Normal 2" dataCellStyle="TXT1"/>
  </tableColumns>
  <tableStyleInfo name="VITAL" showFirstColumn="0" showLastColumn="0" showRowStripes="1" showColumnStripes="0"/>
</table>
</file>

<file path=xl/tables/table9.xml><?xml version="1.0" encoding="utf-8"?>
<table xmlns="http://schemas.openxmlformats.org/spreadsheetml/2006/main" id="9" name="Table_Default__XLS_TAB_11_3" displayName="Table_Default__XLS_TAB_11_3" ref="A9:N23" tableType="queryTable" headerRowCount="0" totalsRowCount="1" dataDxfId="1955" totalsRowDxfId="1954" totalsRowBorderDxfId="1953" dataCellStyle="Normal 2">
  <tableColumns count="14">
    <tableColumn id="1" uniqueName="1" name="AGE_LEVEL_HUSBD_ARB" totalsRowLabel="المجموع" queryTableFieldId="1" headerRowDxfId="1952" dataDxfId="1951" totalsRowDxfId="1950" headerRowCellStyle="Normal 2" dataCellStyle="Normal 2"/>
    <tableColumn id="2" uniqueName="2" name="AGE_LEVEL_LESS_20" totalsRowFunction="sum" queryTableFieldId="2" headerRowDxfId="1949" dataDxfId="1948" totalsRowDxfId="1947" headerRowCellStyle="Normal 2" dataCellStyle="Normal 2"/>
    <tableColumn id="3" uniqueName="3" name="AGE_LEVEL_20_24" totalsRowFunction="sum" queryTableFieldId="3" headerRowDxfId="1946" dataDxfId="1945" totalsRowDxfId="1944" headerRowCellStyle="Normal 2" dataCellStyle="Normal 2"/>
    <tableColumn id="4" uniqueName="4" name="AGE_LEVEL_25_29" totalsRowFunction="sum" queryTableFieldId="4" headerRowDxfId="1943" dataDxfId="1942" totalsRowDxfId="1941" headerRowCellStyle="Normal 2" dataCellStyle="Normal 2"/>
    <tableColumn id="5" uniqueName="5" name="AGE_LEVEL_30_34" totalsRowFunction="sum" queryTableFieldId="5" headerRowDxfId="1940" dataDxfId="1939" totalsRowDxfId="1938" headerRowCellStyle="Normal 2" dataCellStyle="Normal 2"/>
    <tableColumn id="6" uniqueName="6" name="AGE_LEVEL_35_39" totalsRowFunction="sum" queryTableFieldId="6" headerRowDxfId="1937" dataDxfId="1936" totalsRowDxfId="1935" headerRowCellStyle="Normal 2" dataCellStyle="Normal 2"/>
    <tableColumn id="7" uniqueName="7" name="AGE_LEVEL_40_44" totalsRowFunction="sum" queryTableFieldId="7" headerRowDxfId="1934" dataDxfId="1933" totalsRowDxfId="1932" headerRowCellStyle="Normal 2" dataCellStyle="Normal 2"/>
    <tableColumn id="8" uniqueName="8" name="AGE_LEVEL_45_49" totalsRowFunction="sum" queryTableFieldId="8" headerRowDxfId="1931" dataDxfId="1930" totalsRowDxfId="1929" headerRowCellStyle="Normal 2" dataCellStyle="Normal 2"/>
    <tableColumn id="9" uniqueName="9" name="AGE_LEVEL_50_54" totalsRowFunction="sum" queryTableFieldId="9" headerRowDxfId="1928" dataDxfId="1927" totalsRowDxfId="1926" headerRowCellStyle="Normal 2" dataCellStyle="Normal 2"/>
    <tableColumn id="10" uniqueName="10" name="AGE_LEVEL_55_59" totalsRowFunction="sum" queryTableFieldId="10" headerRowDxfId="1925" dataDxfId="1924" totalsRowDxfId="1923" headerRowCellStyle="Normal 2" dataCellStyle="Normal 2"/>
    <tableColumn id="11" uniqueName="11" name="AGE_LEVEL_UP_60" totalsRowFunction="sum" queryTableFieldId="11" headerRowDxfId="1922" dataDxfId="1921" totalsRowDxfId="1920" headerRowCellStyle="Normal 2" dataCellStyle="Normal 2"/>
    <tableColumn id="12" uniqueName="12" name="AGE_LEVEL_NOT_STATED" totalsRowFunction="sum" queryTableFieldId="12" headerRowDxfId="1919" dataDxfId="1918" totalsRowDxfId="1917" headerRowCellStyle="Normal 2" dataCellStyle="Normal 2"/>
    <tableColumn id="13" uniqueName="13" name="TOTAL" totalsRowFunction="sum" queryTableFieldId="13" headerRowDxfId="1916" dataDxfId="1915" totalsRowDxfId="1914" headerRowCellStyle="Normal 2" dataCellStyle="Normal 2"/>
    <tableColumn id="14" uniqueName="14" name="AGE_LEVEL_HUSBD_ENG" totalsRowLabel="Total" queryTableFieldId="14" headerRowDxfId="1913" dataDxfId="1912" totalsRowDxfId="1911" headerRowCellStyle="Normal 2" dataCellStyle="Normal 2"/>
  </tableColumns>
  <tableStyleInfo name="VITA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drawing" Target="../drawings/drawing93.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68.xml"/><Relationship Id="rId2" Type="http://schemas.openxmlformats.org/officeDocument/2006/relationships/drawing" Target="../drawings/drawing9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69.xml"/><Relationship Id="rId2" Type="http://schemas.openxmlformats.org/officeDocument/2006/relationships/drawing" Target="../drawings/drawing95.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table" Target="../tables/table70.xml"/><Relationship Id="rId2" Type="http://schemas.openxmlformats.org/officeDocument/2006/relationships/drawing" Target="../drawings/drawing9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table" Target="../tables/table71.xml"/><Relationship Id="rId2" Type="http://schemas.openxmlformats.org/officeDocument/2006/relationships/drawing" Target="../drawings/drawing9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table" Target="../tables/table72.xml"/><Relationship Id="rId2" Type="http://schemas.openxmlformats.org/officeDocument/2006/relationships/drawing" Target="../drawings/drawing10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3" Type="http://schemas.openxmlformats.org/officeDocument/2006/relationships/table" Target="../tables/table73.xml"/><Relationship Id="rId2" Type="http://schemas.openxmlformats.org/officeDocument/2006/relationships/drawing" Target="../drawings/drawing10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3" Type="http://schemas.openxmlformats.org/officeDocument/2006/relationships/table" Target="../tables/table74.xml"/><Relationship Id="rId2" Type="http://schemas.openxmlformats.org/officeDocument/2006/relationships/drawing" Target="../drawings/drawing10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table" Target="../tables/table75.xml"/><Relationship Id="rId2" Type="http://schemas.openxmlformats.org/officeDocument/2006/relationships/drawing" Target="../drawings/drawing10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table" Target="../tables/table76.xml"/><Relationship Id="rId2" Type="http://schemas.openxmlformats.org/officeDocument/2006/relationships/drawing" Target="../drawings/drawing108.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3" Type="http://schemas.openxmlformats.org/officeDocument/2006/relationships/table" Target="../tables/table77.xml"/><Relationship Id="rId2" Type="http://schemas.openxmlformats.org/officeDocument/2006/relationships/drawing" Target="../drawings/drawing110.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111.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3" Type="http://schemas.openxmlformats.org/officeDocument/2006/relationships/table" Target="../tables/table79.xml"/><Relationship Id="rId2" Type="http://schemas.openxmlformats.org/officeDocument/2006/relationships/drawing" Target="../drawings/drawing112.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drawing" Target="../drawings/drawing113.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table" Target="../tables/table81.xml"/><Relationship Id="rId2" Type="http://schemas.openxmlformats.org/officeDocument/2006/relationships/drawing" Target="../drawings/drawing11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table" Target="../tables/table82.xml"/><Relationship Id="rId2" Type="http://schemas.openxmlformats.org/officeDocument/2006/relationships/drawing" Target="../drawings/drawing11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table" Target="../tables/table83.xml"/><Relationship Id="rId2" Type="http://schemas.openxmlformats.org/officeDocument/2006/relationships/drawing" Target="../drawings/drawing11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86"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8"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7"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5" Type="http://schemas.openxmlformats.org/officeDocument/2006/relationships/printerSettings" Target="../printerSettings/printerSettings5.bin"/><Relationship Id="rId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6"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1"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5"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3"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0"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9"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14"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 Id="rId22" Type="http://schemas.openxmlformats.org/officeDocument/2006/relationships/hyperlink" Target="file://C:\Users\aabdelwahab\AppData\Local\Microsoft\Windows\Temporary%20Internet%20Files\aabdelwahab\AppData\Local\Microsoft\Windows\Temporary%20Internet%20Files\aabdelwahab\AppData\Local\Microsoft\Windows\aabdelwahab\AppData\Local\Microsoft\Windows\Temporary%20Internet%20Files\Content.Outlook\AppData\Local\Microsoft\Windows\Temporary%20Internet%20Files\Content.Outlook\AppData\Local\Microsoft\Windows\Temporary%20Internet%20Files\Content.Outlook\AppData\Local\Microsoft\aabdelwahab\AppData\Local\Microsoft\Windows\Temporary%20Internet%20Files\Content.Outlook\AppData\Local\Microsoft\Windows\Temporary%20Internet%20Files\aabdelwahab\AppData\Local\Microsoft\Windows\Temporary%20Internet%20Files\Content.Outlook\2014\Bulletin_Marriages_Divorces_DB_2013.xlsx" TargetMode="External"/></Relationships>
</file>

<file path=xl/worksheets/_rels/sheet50.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4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5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5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5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6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6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6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6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6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6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6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6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6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6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7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7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7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7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7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7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7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7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7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7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8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8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8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8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84.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86.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8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8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89.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91.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92.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rightToLeft="1" view="pageBreakPreview" zoomScaleNormal="100" zoomScaleSheetLayoutView="100" workbookViewId="0">
      <selection activeCell="A5" sqref="A5"/>
    </sheetView>
  </sheetViews>
  <sheetFormatPr defaultRowHeight="15"/>
  <cols>
    <col min="1" max="1" width="21.5703125" customWidth="1"/>
  </cols>
  <sheetData>
    <row r="1" spans="1:2">
      <c r="A1" s="87" t="s">
        <v>421</v>
      </c>
      <c r="B1">
        <v>2021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rightToLeft="1" view="pageBreakPreview" zoomScaleNormal="100" zoomScaleSheetLayoutView="100" workbookViewId="0">
      <selection activeCell="F22" sqref="F22"/>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L21"/>
  <sheetViews>
    <sheetView rightToLeft="1" view="pageBreakPreview" zoomScaleNormal="75" zoomScaleSheetLayoutView="100" workbookViewId="0">
      <selection activeCell="B20" sqref="B20"/>
    </sheetView>
  </sheetViews>
  <sheetFormatPr defaultColWidth="9.140625" defaultRowHeight="12.75"/>
  <cols>
    <col min="1" max="1" width="21.42578125" style="1" customWidth="1"/>
    <col min="2" max="4" width="10" style="1" customWidth="1"/>
    <col min="5" max="5" width="10.7109375" style="1" customWidth="1"/>
    <col min="6" max="9" width="10" style="1" customWidth="1"/>
    <col min="10" max="10" width="9.140625" style="1" customWidth="1"/>
    <col min="11" max="11" width="11.42578125" style="1" customWidth="1"/>
    <col min="12" max="12" width="19.7109375" style="1" customWidth="1"/>
    <col min="13" max="16384" width="9.140625" style="1"/>
  </cols>
  <sheetData>
    <row r="1" spans="1:12" s="2" customFormat="1" ht="24" customHeight="1">
      <c r="A1" s="1041" t="s">
        <v>357</v>
      </c>
      <c r="B1" s="1041"/>
      <c r="C1" s="1041"/>
      <c r="D1" s="1041"/>
      <c r="E1" s="1041"/>
      <c r="F1" s="1041"/>
      <c r="G1" s="1041"/>
      <c r="H1" s="1041"/>
      <c r="I1" s="1041"/>
      <c r="J1" s="1041"/>
      <c r="K1" s="1041"/>
      <c r="L1" s="1041"/>
    </row>
    <row r="2" spans="1:12" s="3" customFormat="1" ht="18">
      <c r="A2" s="1068" t="s">
        <v>356</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t="s">
        <v>1</v>
      </c>
      <c r="B4" s="1069"/>
      <c r="C4" s="1069"/>
      <c r="D4" s="1069"/>
      <c r="E4" s="1069"/>
      <c r="F4" s="1069"/>
      <c r="G4" s="1069"/>
      <c r="H4" s="1069"/>
      <c r="I4" s="1069"/>
      <c r="J4" s="1069"/>
      <c r="K4" s="1069"/>
      <c r="L4" s="1069"/>
    </row>
    <row r="5" spans="1:12" s="2" customFormat="1" ht="15.75">
      <c r="A5" s="362"/>
      <c r="B5" s="362"/>
      <c r="C5" s="362"/>
      <c r="D5" s="362"/>
      <c r="E5" s="362"/>
      <c r="F5" s="362"/>
      <c r="G5" s="362"/>
      <c r="H5" s="362"/>
      <c r="I5" s="362"/>
      <c r="J5" s="362"/>
      <c r="K5" s="362"/>
      <c r="L5" s="362"/>
    </row>
    <row r="6" spans="1:12" ht="15.75">
      <c r="A6" s="374" t="s">
        <v>2</v>
      </c>
      <c r="B6" s="378"/>
      <c r="C6" s="378"/>
      <c r="D6" s="378"/>
      <c r="E6" s="378"/>
      <c r="F6" s="378"/>
      <c r="G6" s="378"/>
      <c r="H6" s="378"/>
      <c r="I6" s="378"/>
      <c r="J6" s="378"/>
      <c r="K6" s="378"/>
      <c r="L6" s="376" t="s">
        <v>3</v>
      </c>
    </row>
    <row r="7" spans="1:12" ht="30.75" customHeight="1" thickBot="1">
      <c r="A7" s="1131" t="s">
        <v>308</v>
      </c>
      <c r="B7" s="1145" t="s">
        <v>202</v>
      </c>
      <c r="C7" s="1145"/>
      <c r="D7" s="1145"/>
      <c r="E7" s="1145"/>
      <c r="F7" s="1145"/>
      <c r="G7" s="1145"/>
      <c r="H7" s="1145"/>
      <c r="I7" s="1145"/>
      <c r="J7" s="1145"/>
      <c r="K7" s="1146" t="s">
        <v>607</v>
      </c>
      <c r="L7" s="1138" t="s">
        <v>355</v>
      </c>
    </row>
    <row r="8" spans="1:12" ht="60.75" customHeight="1">
      <c r="A8" s="1132"/>
      <c r="B8" s="160" t="s">
        <v>615</v>
      </c>
      <c r="C8" s="160" t="s">
        <v>649</v>
      </c>
      <c r="D8" s="328" t="s">
        <v>730</v>
      </c>
      <c r="E8" s="160" t="s">
        <v>613</v>
      </c>
      <c r="F8" s="160" t="s">
        <v>612</v>
      </c>
      <c r="G8" s="160" t="s">
        <v>611</v>
      </c>
      <c r="H8" s="160" t="s">
        <v>610</v>
      </c>
      <c r="I8" s="160" t="s">
        <v>616</v>
      </c>
      <c r="J8" s="329" t="s">
        <v>609</v>
      </c>
      <c r="K8" s="1171"/>
      <c r="L8" s="1139"/>
    </row>
    <row r="9" spans="1:12" ht="16.5" thickBot="1">
      <c r="A9" s="856">
        <v>-20</v>
      </c>
      <c r="B9" s="75">
        <v>0</v>
      </c>
      <c r="C9" s="75">
        <v>0</v>
      </c>
      <c r="D9" s="75">
        <v>7</v>
      </c>
      <c r="E9" s="75">
        <v>12</v>
      </c>
      <c r="F9" s="75">
        <v>21</v>
      </c>
      <c r="G9" s="75">
        <v>0</v>
      </c>
      <c r="H9" s="75">
        <v>0</v>
      </c>
      <c r="I9" s="75">
        <v>1</v>
      </c>
      <c r="J9" s="6">
        <v>41</v>
      </c>
      <c r="K9" s="165">
        <f t="shared" ref="K9:K19" si="0">J9/$J$20%</f>
        <v>1.914992993928071</v>
      </c>
      <c r="L9" s="857">
        <v>-20</v>
      </c>
    </row>
    <row r="10" spans="1:12" ht="16.5" thickBot="1">
      <c r="A10" s="774" t="s">
        <v>1053</v>
      </c>
      <c r="B10" s="310">
        <v>0</v>
      </c>
      <c r="C10" s="310">
        <v>0</v>
      </c>
      <c r="D10" s="310">
        <v>8</v>
      </c>
      <c r="E10" s="310">
        <v>40</v>
      </c>
      <c r="F10" s="310">
        <v>222</v>
      </c>
      <c r="G10" s="310">
        <v>0</v>
      </c>
      <c r="H10" s="310">
        <v>48</v>
      </c>
      <c r="I10" s="310">
        <v>9</v>
      </c>
      <c r="J10" s="6">
        <v>327</v>
      </c>
      <c r="K10" s="8">
        <f t="shared" si="0"/>
        <v>15.2732368052312</v>
      </c>
      <c r="L10" s="854" t="s">
        <v>127</v>
      </c>
    </row>
    <row r="11" spans="1:12" ht="16.5" thickBot="1">
      <c r="A11" s="810" t="s">
        <v>1054</v>
      </c>
      <c r="B11" s="310">
        <v>1</v>
      </c>
      <c r="C11" s="310">
        <v>1</v>
      </c>
      <c r="D11" s="310">
        <v>12</v>
      </c>
      <c r="E11" s="310">
        <v>37</v>
      </c>
      <c r="F11" s="310">
        <v>228</v>
      </c>
      <c r="G11" s="310">
        <v>9</v>
      </c>
      <c r="H11" s="310">
        <v>128</v>
      </c>
      <c r="I11" s="310">
        <v>28</v>
      </c>
      <c r="J11" s="6">
        <v>444</v>
      </c>
      <c r="K11" s="9">
        <f t="shared" si="0"/>
        <v>20.737972909855209</v>
      </c>
      <c r="L11" s="814" t="s">
        <v>126</v>
      </c>
    </row>
    <row r="12" spans="1:12" ht="16.5" thickBot="1">
      <c r="A12" s="774" t="s">
        <v>1055</v>
      </c>
      <c r="B12" s="310">
        <v>0</v>
      </c>
      <c r="C12" s="310">
        <v>3</v>
      </c>
      <c r="D12" s="310">
        <v>7</v>
      </c>
      <c r="E12" s="310">
        <v>20</v>
      </c>
      <c r="F12" s="310">
        <v>150</v>
      </c>
      <c r="G12" s="310">
        <v>5</v>
      </c>
      <c r="H12" s="310">
        <v>111</v>
      </c>
      <c r="I12" s="310">
        <v>77</v>
      </c>
      <c r="J12" s="6">
        <v>373</v>
      </c>
      <c r="K12" s="8">
        <f t="shared" si="0"/>
        <v>17.421765530126109</v>
      </c>
      <c r="L12" s="854" t="s">
        <v>125</v>
      </c>
    </row>
    <row r="13" spans="1:12" ht="16.5" thickBot="1">
      <c r="A13" s="810" t="s">
        <v>1056</v>
      </c>
      <c r="B13" s="310">
        <v>1</v>
      </c>
      <c r="C13" s="310">
        <v>0</v>
      </c>
      <c r="D13" s="310">
        <v>7</v>
      </c>
      <c r="E13" s="310">
        <v>18</v>
      </c>
      <c r="F13" s="310">
        <v>113</v>
      </c>
      <c r="G13" s="310">
        <v>7</v>
      </c>
      <c r="H13" s="310">
        <v>133</v>
      </c>
      <c r="I13" s="310">
        <v>82</v>
      </c>
      <c r="J13" s="6">
        <v>361</v>
      </c>
      <c r="K13" s="9">
        <f t="shared" si="0"/>
        <v>16.861279775805698</v>
      </c>
      <c r="L13" s="814" t="s">
        <v>124</v>
      </c>
    </row>
    <row r="14" spans="1:12" ht="16.5" thickBot="1">
      <c r="A14" s="774" t="s">
        <v>1057</v>
      </c>
      <c r="B14" s="310">
        <v>0</v>
      </c>
      <c r="C14" s="310">
        <v>3</v>
      </c>
      <c r="D14" s="310">
        <v>3</v>
      </c>
      <c r="E14" s="310">
        <v>8</v>
      </c>
      <c r="F14" s="310">
        <v>72</v>
      </c>
      <c r="G14" s="310">
        <v>4</v>
      </c>
      <c r="H14" s="310">
        <v>80</v>
      </c>
      <c r="I14" s="310">
        <v>67</v>
      </c>
      <c r="J14" s="6">
        <v>237</v>
      </c>
      <c r="K14" s="8">
        <f t="shared" si="0"/>
        <v>11.069593647828118</v>
      </c>
      <c r="L14" s="854" t="s">
        <v>123</v>
      </c>
    </row>
    <row r="15" spans="1:12" ht="16.5" thickBot="1">
      <c r="A15" s="810" t="s">
        <v>1058</v>
      </c>
      <c r="B15" s="310">
        <v>3</v>
      </c>
      <c r="C15" s="310">
        <v>3</v>
      </c>
      <c r="D15" s="310">
        <v>1</v>
      </c>
      <c r="E15" s="310">
        <v>7</v>
      </c>
      <c r="F15" s="310">
        <v>36</v>
      </c>
      <c r="G15" s="310">
        <v>3</v>
      </c>
      <c r="H15" s="310">
        <v>45</v>
      </c>
      <c r="I15" s="310">
        <v>58</v>
      </c>
      <c r="J15" s="6">
        <v>156</v>
      </c>
      <c r="K15" s="9">
        <f t="shared" si="0"/>
        <v>7.2863148061653433</v>
      </c>
      <c r="L15" s="814" t="s">
        <v>122</v>
      </c>
    </row>
    <row r="16" spans="1:12" ht="16.5" thickBot="1">
      <c r="A16" s="774" t="s">
        <v>1059</v>
      </c>
      <c r="B16" s="310">
        <v>0</v>
      </c>
      <c r="C16" s="310">
        <v>2</v>
      </c>
      <c r="D16" s="310">
        <v>8</v>
      </c>
      <c r="E16" s="310">
        <v>1</v>
      </c>
      <c r="F16" s="310">
        <v>15</v>
      </c>
      <c r="G16" s="310">
        <v>2</v>
      </c>
      <c r="H16" s="310">
        <v>25</v>
      </c>
      <c r="I16" s="310">
        <v>48</v>
      </c>
      <c r="J16" s="6">
        <v>101</v>
      </c>
      <c r="K16" s="8">
        <f t="shared" si="0"/>
        <v>4.7174217655301263</v>
      </c>
      <c r="L16" s="854" t="s">
        <v>121</v>
      </c>
    </row>
    <row r="17" spans="1:12" ht="16.5" thickBot="1">
      <c r="A17" s="810" t="s">
        <v>1060</v>
      </c>
      <c r="B17" s="310">
        <v>0</v>
      </c>
      <c r="C17" s="310">
        <v>3</v>
      </c>
      <c r="D17" s="310">
        <v>1</v>
      </c>
      <c r="E17" s="310">
        <v>2</v>
      </c>
      <c r="F17" s="310">
        <v>6</v>
      </c>
      <c r="G17" s="310">
        <v>1</v>
      </c>
      <c r="H17" s="310">
        <v>6</v>
      </c>
      <c r="I17" s="310">
        <v>23</v>
      </c>
      <c r="J17" s="6">
        <v>42</v>
      </c>
      <c r="K17" s="9">
        <f t="shared" si="0"/>
        <v>1.9617001401214387</v>
      </c>
      <c r="L17" s="814" t="s">
        <v>120</v>
      </c>
    </row>
    <row r="18" spans="1:12" ht="16.5" thickBot="1">
      <c r="A18" s="774" t="s">
        <v>132</v>
      </c>
      <c r="B18" s="310">
        <v>0</v>
      </c>
      <c r="C18" s="310">
        <v>1</v>
      </c>
      <c r="D18" s="310">
        <v>2</v>
      </c>
      <c r="E18" s="310">
        <v>0</v>
      </c>
      <c r="F18" s="310">
        <v>5</v>
      </c>
      <c r="G18" s="310">
        <v>0</v>
      </c>
      <c r="H18" s="310">
        <v>2</v>
      </c>
      <c r="I18" s="310">
        <v>15</v>
      </c>
      <c r="J18" s="6">
        <v>25</v>
      </c>
      <c r="K18" s="8">
        <f t="shared" si="0"/>
        <v>1.1676786548341895</v>
      </c>
      <c r="L18" s="854" t="s">
        <v>1065</v>
      </c>
    </row>
    <row r="19" spans="1:12" ht="16.5" thickBot="1">
      <c r="A19" s="848" t="s">
        <v>14</v>
      </c>
      <c r="B19" s="311">
        <v>0</v>
      </c>
      <c r="C19" s="311">
        <v>0</v>
      </c>
      <c r="D19" s="311">
        <v>0</v>
      </c>
      <c r="E19" s="311">
        <v>0</v>
      </c>
      <c r="F19" s="311">
        <v>0</v>
      </c>
      <c r="G19" s="311">
        <v>0</v>
      </c>
      <c r="H19" s="311">
        <v>1</v>
      </c>
      <c r="I19" s="311">
        <v>33</v>
      </c>
      <c r="J19" s="6">
        <v>34</v>
      </c>
      <c r="K19" s="156">
        <f t="shared" si="0"/>
        <v>1.5880429705744978</v>
      </c>
      <c r="L19" s="859" t="s">
        <v>15</v>
      </c>
    </row>
    <row r="20" spans="1:12" ht="21" customHeight="1" thickBot="1">
      <c r="A20" s="772" t="s">
        <v>187</v>
      </c>
      <c r="B20" s="609">
        <f>SUBTOTAL(109,Table_Default__XLS_TAB_37_3[[#All],[ILLITERATE_CNT]])</f>
        <v>5</v>
      </c>
      <c r="C20" s="609">
        <f>SUBTOTAL(109,Table_Default__XLS_TAB_37_3[[#All],[READ_AND_WRITE_CNT]])</f>
        <v>16</v>
      </c>
      <c r="D20" s="609">
        <f>SUBTOTAL(109,Table_Default__XLS_TAB_37_3[[#All],[PRIMARY_CNT]])</f>
        <v>56</v>
      </c>
      <c r="E20" s="609">
        <f>SUBTOTAL(109,Table_Default__XLS_TAB_37_3[[#All],[PREPARATORY_CNT]])</f>
        <v>145</v>
      </c>
      <c r="F20" s="609">
        <f>SUBTOTAL(109,Table_Default__XLS_TAB_37_3[[#All],[SECONDARY_CNT]])</f>
        <v>868</v>
      </c>
      <c r="G20" s="609">
        <f>SUBTOTAL(109,Table_Default__XLS_TAB_37_3[[#All],[PRE_UNIVERSITY_CNT]])</f>
        <v>31</v>
      </c>
      <c r="H20" s="609">
        <f>SUBTOTAL(109,Table_Default__XLS_TAB_37_3[[#All],[UNIV_ABOVE_CNT]])</f>
        <v>579</v>
      </c>
      <c r="I20" s="609">
        <f>SUBTOTAL(109,Table_Default__XLS_TAB_37_3[[#All],[NOT_STATED_CNT]])</f>
        <v>441</v>
      </c>
      <c r="J20" s="841">
        <f>SUBTOTAL(109,Table_Default__XLS_TAB_37_3[[#All],[TOTAL]])</f>
        <v>2141</v>
      </c>
      <c r="K20" s="307">
        <f t="shared" ref="K20" si="1">SUM(K7:K19)</f>
        <v>99.999999999999986</v>
      </c>
      <c r="L20" s="610" t="s">
        <v>17</v>
      </c>
    </row>
    <row r="21" spans="1:12" ht="21" customHeight="1">
      <c r="A21" s="855" t="s">
        <v>186</v>
      </c>
      <c r="B21" s="611">
        <f t="shared" ref="B21:I21" si="2">B20/$J$20%</f>
        <v>0.23353573096683791</v>
      </c>
      <c r="C21" s="611">
        <f>C20/$J$20%</f>
        <v>0.74731433909388134</v>
      </c>
      <c r="D21" s="611">
        <f t="shared" si="2"/>
        <v>2.6156001868285848</v>
      </c>
      <c r="E21" s="611">
        <f t="shared" si="2"/>
        <v>6.7725361980383001</v>
      </c>
      <c r="F21" s="611">
        <f t="shared" si="2"/>
        <v>40.541802895843063</v>
      </c>
      <c r="G21" s="611">
        <f t="shared" si="2"/>
        <v>1.4479215319943952</v>
      </c>
      <c r="H21" s="611">
        <f t="shared" si="2"/>
        <v>27.04343764595983</v>
      </c>
      <c r="I21" s="611">
        <f t="shared" si="2"/>
        <v>20.597851471275106</v>
      </c>
      <c r="J21" s="611">
        <f>SUM(B21:I21)</f>
        <v>100</v>
      </c>
      <c r="K21" s="1217" t="s">
        <v>185</v>
      </c>
      <c r="L21" s="1218"/>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O23"/>
  <sheetViews>
    <sheetView rightToLeft="1" view="pageBreakPreview" topLeftCell="A10" zoomScaleNormal="75" zoomScaleSheetLayoutView="100" workbookViewId="0">
      <selection activeCell="L10" sqref="L10"/>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10" style="1" customWidth="1"/>
    <col min="10" max="10" width="10.42578125"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152" t="s">
        <v>358</v>
      </c>
      <c r="B1" s="1152"/>
      <c r="C1" s="1152"/>
      <c r="D1" s="1152"/>
      <c r="E1" s="1152"/>
      <c r="F1" s="1152"/>
      <c r="G1" s="1152"/>
      <c r="H1" s="1152"/>
      <c r="I1" s="1152"/>
      <c r="J1" s="1152"/>
      <c r="K1" s="1152"/>
      <c r="L1" s="1152"/>
      <c r="M1" s="1152"/>
      <c r="N1" s="1152"/>
      <c r="O1" s="1152"/>
    </row>
    <row r="2" spans="1:15" s="2" customFormat="1" ht="15.75">
      <c r="A2" s="1153" t="s">
        <v>677</v>
      </c>
      <c r="B2" s="1153"/>
      <c r="C2" s="1153"/>
      <c r="D2" s="1153"/>
      <c r="E2" s="1153"/>
      <c r="F2" s="1153"/>
      <c r="G2" s="1153"/>
      <c r="H2" s="1153"/>
      <c r="I2" s="1153"/>
      <c r="J2" s="1153"/>
      <c r="K2" s="1153"/>
      <c r="L2" s="1153"/>
      <c r="M2" s="1153"/>
      <c r="N2" s="1153"/>
      <c r="O2" s="1153"/>
    </row>
    <row r="3" spans="1:15" s="2" customFormat="1" ht="15" customHeight="1">
      <c r="A3" s="1154">
        <v>2021</v>
      </c>
      <c r="B3" s="1154"/>
      <c r="C3" s="1154"/>
      <c r="D3" s="1154"/>
      <c r="E3" s="1154"/>
      <c r="F3" s="1154"/>
      <c r="G3" s="1154"/>
      <c r="H3" s="1154"/>
      <c r="I3" s="1154"/>
      <c r="J3" s="1154"/>
      <c r="K3" s="1154"/>
      <c r="L3" s="1154"/>
      <c r="M3" s="1154"/>
      <c r="N3" s="1154"/>
      <c r="O3" s="1154"/>
    </row>
    <row r="4" spans="1:15" s="2" customFormat="1" ht="15.75">
      <c r="A4" s="1155" t="s">
        <v>52</v>
      </c>
      <c r="B4" s="1155"/>
      <c r="C4" s="1155"/>
      <c r="D4" s="1155"/>
      <c r="E4" s="1155"/>
      <c r="F4" s="1155"/>
      <c r="G4" s="1155"/>
      <c r="H4" s="1155"/>
      <c r="I4" s="1155"/>
      <c r="J4" s="1155"/>
      <c r="K4" s="1155"/>
      <c r="L4" s="1155"/>
      <c r="M4" s="1155"/>
      <c r="N4" s="1155"/>
      <c r="O4" s="1155"/>
    </row>
    <row r="5" spans="1:15" s="2" customFormat="1" ht="15.75">
      <c r="A5" s="377"/>
      <c r="B5" s="377"/>
      <c r="C5" s="377"/>
      <c r="D5" s="377"/>
      <c r="E5" s="377"/>
      <c r="F5" s="377"/>
      <c r="G5" s="377"/>
      <c r="H5" s="377"/>
      <c r="I5" s="377"/>
      <c r="J5" s="377"/>
      <c r="K5" s="377"/>
      <c r="L5" s="377"/>
      <c r="M5" s="377"/>
      <c r="N5" s="377"/>
      <c r="O5" s="377"/>
    </row>
    <row r="6" spans="1:15" ht="15.75">
      <c r="A6" s="374" t="s">
        <v>406</v>
      </c>
      <c r="B6" s="378"/>
      <c r="C6" s="378"/>
      <c r="D6" s="378"/>
      <c r="E6" s="378"/>
      <c r="F6" s="378"/>
      <c r="G6" s="378"/>
      <c r="H6" s="378"/>
      <c r="I6" s="378"/>
      <c r="J6" s="378"/>
      <c r="K6" s="378"/>
      <c r="L6" s="378"/>
      <c r="M6" s="378"/>
      <c r="N6" s="378"/>
      <c r="O6" s="376" t="s">
        <v>407</v>
      </c>
    </row>
    <row r="7" spans="1:15" ht="30" customHeight="1" thickBot="1">
      <c r="A7" s="1131" t="s">
        <v>238</v>
      </c>
      <c r="B7" s="1150" t="s">
        <v>237</v>
      </c>
      <c r="C7" s="1150"/>
      <c r="D7" s="1150"/>
      <c r="E7" s="1150"/>
      <c r="F7" s="1150"/>
      <c r="G7" s="1150"/>
      <c r="H7" s="1150"/>
      <c r="I7" s="1150"/>
      <c r="J7" s="1150"/>
      <c r="K7" s="1150"/>
      <c r="L7" s="1150"/>
      <c r="M7" s="1150"/>
      <c r="N7" s="1150"/>
      <c r="O7" s="1138" t="s">
        <v>236</v>
      </c>
    </row>
    <row r="8" spans="1:15" ht="83.25" customHeight="1" thickBot="1">
      <c r="A8" s="1149"/>
      <c r="B8" s="333" t="s">
        <v>722</v>
      </c>
      <c r="C8" s="333" t="s">
        <v>233</v>
      </c>
      <c r="D8" s="333" t="s">
        <v>232</v>
      </c>
      <c r="E8" s="333" t="s">
        <v>231</v>
      </c>
      <c r="F8" s="334" t="s">
        <v>230</v>
      </c>
      <c r="G8" s="334" t="s">
        <v>579</v>
      </c>
      <c r="H8" s="334" t="s">
        <v>723</v>
      </c>
      <c r="I8" s="334" t="s">
        <v>724</v>
      </c>
      <c r="J8" s="334" t="s">
        <v>228</v>
      </c>
      <c r="K8" s="334" t="s">
        <v>227</v>
      </c>
      <c r="L8" s="335" t="s">
        <v>16</v>
      </c>
      <c r="M8" s="334" t="s">
        <v>1085</v>
      </c>
      <c r="N8" s="333" t="s">
        <v>235</v>
      </c>
      <c r="O8" s="1151"/>
    </row>
    <row r="9" spans="1:15" ht="51" customHeight="1" thickBot="1">
      <c r="A9" s="1132"/>
      <c r="B9" s="613" t="s">
        <v>691</v>
      </c>
      <c r="C9" s="614" t="s">
        <v>692</v>
      </c>
      <c r="D9" s="614" t="s">
        <v>693</v>
      </c>
      <c r="E9" s="614" t="s">
        <v>694</v>
      </c>
      <c r="F9" s="601" t="s">
        <v>1019</v>
      </c>
      <c r="G9" s="602" t="s">
        <v>695</v>
      </c>
      <c r="H9" s="602" t="s">
        <v>696</v>
      </c>
      <c r="I9" s="602" t="s">
        <v>697</v>
      </c>
      <c r="J9" s="602" t="s">
        <v>698</v>
      </c>
      <c r="K9" s="602" t="s">
        <v>226</v>
      </c>
      <c r="L9" s="615" t="s">
        <v>55</v>
      </c>
      <c r="M9" s="602" t="s">
        <v>225</v>
      </c>
      <c r="N9" s="459" t="s">
        <v>234</v>
      </c>
      <c r="O9" s="1139"/>
    </row>
    <row r="10" spans="1:15" ht="38.25">
      <c r="A10" s="862" t="s">
        <v>733</v>
      </c>
      <c r="B10" s="461">
        <v>2</v>
      </c>
      <c r="C10" s="461">
        <v>3</v>
      </c>
      <c r="D10" s="461">
        <v>22</v>
      </c>
      <c r="E10" s="461">
        <v>18</v>
      </c>
      <c r="F10" s="461">
        <v>1</v>
      </c>
      <c r="G10" s="461">
        <v>0</v>
      </c>
      <c r="H10" s="461">
        <v>0</v>
      </c>
      <c r="I10" s="461">
        <v>0</v>
      </c>
      <c r="J10" s="461">
        <v>0</v>
      </c>
      <c r="K10" s="518">
        <v>0</v>
      </c>
      <c r="L10" s="462">
        <v>46</v>
      </c>
      <c r="M10" s="461">
        <v>107</v>
      </c>
      <c r="N10" s="462">
        <v>153</v>
      </c>
      <c r="O10" s="737" t="s">
        <v>1095</v>
      </c>
    </row>
    <row r="11" spans="1:15" ht="21.95" customHeight="1">
      <c r="A11" s="802" t="s">
        <v>233</v>
      </c>
      <c r="B11" s="262">
        <v>0</v>
      </c>
      <c r="C11" s="262">
        <v>7</v>
      </c>
      <c r="D11" s="262">
        <v>11</v>
      </c>
      <c r="E11" s="262">
        <v>3</v>
      </c>
      <c r="F11" s="262">
        <v>1</v>
      </c>
      <c r="G11" s="262">
        <v>0</v>
      </c>
      <c r="H11" s="262">
        <v>0</v>
      </c>
      <c r="I11" s="262">
        <v>0</v>
      </c>
      <c r="J11" s="262">
        <v>0</v>
      </c>
      <c r="K11" s="476">
        <v>0</v>
      </c>
      <c r="L11" s="386">
        <v>22</v>
      </c>
      <c r="M11" s="262">
        <v>24</v>
      </c>
      <c r="N11" s="386">
        <v>46</v>
      </c>
      <c r="O11" s="738" t="s">
        <v>1096</v>
      </c>
    </row>
    <row r="12" spans="1:15" ht="38.25">
      <c r="A12" s="802" t="s">
        <v>232</v>
      </c>
      <c r="B12" s="262">
        <v>2</v>
      </c>
      <c r="C12" s="262">
        <v>12</v>
      </c>
      <c r="D12" s="262">
        <v>47</v>
      </c>
      <c r="E12" s="262">
        <v>30</v>
      </c>
      <c r="F12" s="262">
        <v>0</v>
      </c>
      <c r="G12" s="262">
        <v>0</v>
      </c>
      <c r="H12" s="262">
        <v>0</v>
      </c>
      <c r="I12" s="262">
        <v>0</v>
      </c>
      <c r="J12" s="262">
        <v>0</v>
      </c>
      <c r="K12" s="476">
        <v>0</v>
      </c>
      <c r="L12" s="386">
        <v>91</v>
      </c>
      <c r="M12" s="262">
        <v>168</v>
      </c>
      <c r="N12" s="386">
        <v>259</v>
      </c>
      <c r="O12" s="739" t="s">
        <v>1097</v>
      </c>
    </row>
    <row r="13" spans="1:15" ht="21.95" customHeight="1">
      <c r="A13" s="802" t="s">
        <v>231</v>
      </c>
      <c r="B13" s="262">
        <v>1</v>
      </c>
      <c r="C13" s="262">
        <v>23</v>
      </c>
      <c r="D13" s="262">
        <v>47</v>
      </c>
      <c r="E13" s="262">
        <v>105</v>
      </c>
      <c r="F13" s="262">
        <v>1</v>
      </c>
      <c r="G13" s="262">
        <v>0</v>
      </c>
      <c r="H13" s="262">
        <v>0</v>
      </c>
      <c r="I13" s="262">
        <v>0</v>
      </c>
      <c r="J13" s="262">
        <v>0</v>
      </c>
      <c r="K13" s="476">
        <v>0</v>
      </c>
      <c r="L13" s="386">
        <v>177</v>
      </c>
      <c r="M13" s="262">
        <v>333</v>
      </c>
      <c r="N13" s="386">
        <v>510</v>
      </c>
      <c r="O13" s="738" t="s">
        <v>1098</v>
      </c>
    </row>
    <row r="14" spans="1:15" ht="47.25">
      <c r="A14" s="802" t="s">
        <v>230</v>
      </c>
      <c r="B14" s="262">
        <v>0</v>
      </c>
      <c r="C14" s="262">
        <v>3</v>
      </c>
      <c r="D14" s="262">
        <v>4</v>
      </c>
      <c r="E14" s="262">
        <v>29</v>
      </c>
      <c r="F14" s="262">
        <v>4</v>
      </c>
      <c r="G14" s="262">
        <v>0</v>
      </c>
      <c r="H14" s="262">
        <v>0</v>
      </c>
      <c r="I14" s="262">
        <v>0</v>
      </c>
      <c r="J14" s="262">
        <v>0</v>
      </c>
      <c r="K14" s="476">
        <v>0</v>
      </c>
      <c r="L14" s="386">
        <v>40</v>
      </c>
      <c r="M14" s="262">
        <v>83</v>
      </c>
      <c r="N14" s="386">
        <v>123</v>
      </c>
      <c r="O14" s="739" t="s">
        <v>1099</v>
      </c>
    </row>
    <row r="15" spans="1:15" ht="31.5">
      <c r="A15" s="802" t="s">
        <v>229</v>
      </c>
      <c r="B15" s="262">
        <v>0</v>
      </c>
      <c r="C15" s="262">
        <v>0</v>
      </c>
      <c r="D15" s="262">
        <v>0</v>
      </c>
      <c r="E15" s="262">
        <v>0</v>
      </c>
      <c r="F15" s="262">
        <v>0</v>
      </c>
      <c r="G15" s="262">
        <v>0</v>
      </c>
      <c r="H15" s="262">
        <v>0</v>
      </c>
      <c r="I15" s="262">
        <v>0</v>
      </c>
      <c r="J15" s="262">
        <v>0</v>
      </c>
      <c r="K15" s="476">
        <v>0</v>
      </c>
      <c r="L15" s="386">
        <v>0</v>
      </c>
      <c r="M15" s="262">
        <v>0</v>
      </c>
      <c r="N15" s="386">
        <v>0</v>
      </c>
      <c r="O15" s="738" t="s">
        <v>1100</v>
      </c>
    </row>
    <row r="16" spans="1:15" ht="31.5">
      <c r="A16" s="802" t="s">
        <v>734</v>
      </c>
      <c r="B16" s="262">
        <v>0</v>
      </c>
      <c r="C16" s="262">
        <v>0</v>
      </c>
      <c r="D16" s="262">
        <v>0</v>
      </c>
      <c r="E16" s="262">
        <v>0</v>
      </c>
      <c r="F16" s="262">
        <v>0</v>
      </c>
      <c r="G16" s="262">
        <v>0</v>
      </c>
      <c r="H16" s="262">
        <v>0</v>
      </c>
      <c r="I16" s="262">
        <v>0</v>
      </c>
      <c r="J16" s="262">
        <v>0</v>
      </c>
      <c r="K16" s="476">
        <v>0</v>
      </c>
      <c r="L16" s="386">
        <v>0</v>
      </c>
      <c r="M16" s="262">
        <v>0</v>
      </c>
      <c r="N16" s="386">
        <v>0</v>
      </c>
      <c r="O16" s="739" t="s">
        <v>1101</v>
      </c>
    </row>
    <row r="17" spans="1:15" ht="38.25">
      <c r="A17" s="802" t="s">
        <v>735</v>
      </c>
      <c r="B17" s="262">
        <v>0</v>
      </c>
      <c r="C17" s="262">
        <v>0</v>
      </c>
      <c r="D17" s="262">
        <v>0</v>
      </c>
      <c r="E17" s="262">
        <v>0</v>
      </c>
      <c r="F17" s="262">
        <v>0</v>
      </c>
      <c r="G17" s="262">
        <v>0</v>
      </c>
      <c r="H17" s="262">
        <v>0</v>
      </c>
      <c r="I17" s="262">
        <v>0</v>
      </c>
      <c r="J17" s="262">
        <v>0</v>
      </c>
      <c r="K17" s="476">
        <v>0</v>
      </c>
      <c r="L17" s="386">
        <v>0</v>
      </c>
      <c r="M17" s="262">
        <v>2</v>
      </c>
      <c r="N17" s="386">
        <v>2</v>
      </c>
      <c r="O17" s="738" t="s">
        <v>1102</v>
      </c>
    </row>
    <row r="18" spans="1:15" ht="21.95" customHeight="1">
      <c r="A18" s="802" t="s">
        <v>228</v>
      </c>
      <c r="B18" s="262">
        <v>0</v>
      </c>
      <c r="C18" s="262">
        <v>4</v>
      </c>
      <c r="D18" s="262">
        <v>2</v>
      </c>
      <c r="E18" s="262">
        <v>18</v>
      </c>
      <c r="F18" s="262">
        <v>1</v>
      </c>
      <c r="G18" s="262">
        <v>0</v>
      </c>
      <c r="H18" s="262">
        <v>0</v>
      </c>
      <c r="I18" s="262">
        <v>0</v>
      </c>
      <c r="J18" s="262">
        <v>0</v>
      </c>
      <c r="K18" s="476">
        <v>0</v>
      </c>
      <c r="L18" s="386">
        <v>25</v>
      </c>
      <c r="M18" s="262">
        <v>29</v>
      </c>
      <c r="N18" s="386">
        <v>54</v>
      </c>
      <c r="O18" s="739" t="s">
        <v>1103</v>
      </c>
    </row>
    <row r="19" spans="1:15" ht="31.5">
      <c r="A19" s="863" t="s">
        <v>227</v>
      </c>
      <c r="B19" s="460">
        <v>0</v>
      </c>
      <c r="C19" s="460">
        <v>0</v>
      </c>
      <c r="D19" s="460">
        <v>0</v>
      </c>
      <c r="E19" s="460">
        <v>0</v>
      </c>
      <c r="F19" s="460">
        <v>0</v>
      </c>
      <c r="G19" s="460">
        <v>0</v>
      </c>
      <c r="H19" s="460">
        <v>0</v>
      </c>
      <c r="I19" s="460">
        <v>0</v>
      </c>
      <c r="J19" s="460">
        <v>0</v>
      </c>
      <c r="K19" s="477">
        <v>0</v>
      </c>
      <c r="L19" s="385">
        <v>0</v>
      </c>
      <c r="M19" s="460">
        <v>0</v>
      </c>
      <c r="N19" s="385">
        <v>0</v>
      </c>
      <c r="O19" s="738" t="s">
        <v>226</v>
      </c>
    </row>
    <row r="20" spans="1:15" ht="21.75" customHeight="1">
      <c r="A20" s="863" t="s">
        <v>16</v>
      </c>
      <c r="B20" s="385">
        <v>5</v>
      </c>
      <c r="C20" s="385">
        <v>52</v>
      </c>
      <c r="D20" s="385">
        <v>133</v>
      </c>
      <c r="E20" s="385">
        <v>203</v>
      </c>
      <c r="F20" s="385">
        <v>8</v>
      </c>
      <c r="G20" s="385">
        <v>0</v>
      </c>
      <c r="H20" s="385">
        <v>0</v>
      </c>
      <c r="I20" s="385">
        <v>0</v>
      </c>
      <c r="J20" s="385">
        <v>0</v>
      </c>
      <c r="K20" s="385">
        <v>0</v>
      </c>
      <c r="L20" s="385">
        <v>401</v>
      </c>
      <c r="M20" s="385">
        <v>746</v>
      </c>
      <c r="N20" s="860">
        <v>1147</v>
      </c>
      <c r="O20" s="304" t="s">
        <v>55</v>
      </c>
    </row>
    <row r="21" spans="1:15" ht="21.95" customHeight="1">
      <c r="A21" s="802" t="s">
        <v>1104</v>
      </c>
      <c r="B21" s="262">
        <v>0</v>
      </c>
      <c r="C21" s="262">
        <v>6</v>
      </c>
      <c r="D21" s="262">
        <v>8</v>
      </c>
      <c r="E21" s="262">
        <v>13</v>
      </c>
      <c r="F21" s="262">
        <v>0</v>
      </c>
      <c r="G21" s="262">
        <v>0</v>
      </c>
      <c r="H21" s="262">
        <v>0</v>
      </c>
      <c r="I21" s="262">
        <v>0</v>
      </c>
      <c r="J21" s="262">
        <v>1</v>
      </c>
      <c r="K21" s="262">
        <v>0</v>
      </c>
      <c r="L21" s="386">
        <v>28</v>
      </c>
      <c r="M21" s="262">
        <v>149</v>
      </c>
      <c r="N21" s="861">
        <v>177</v>
      </c>
      <c r="O21" s="803" t="s">
        <v>225</v>
      </c>
    </row>
    <row r="22" spans="1:15" ht="27" customHeight="1">
      <c r="A22" s="90" t="s">
        <v>224</v>
      </c>
      <c r="B22" s="385">
        <f>B20+B21</f>
        <v>5</v>
      </c>
      <c r="C22" s="385">
        <f t="shared" ref="C22:I22" si="0">C20+C21</f>
        <v>58</v>
      </c>
      <c r="D22" s="385">
        <f t="shared" si="0"/>
        <v>141</v>
      </c>
      <c r="E22" s="385">
        <f t="shared" si="0"/>
        <v>216</v>
      </c>
      <c r="F22" s="385">
        <f t="shared" si="0"/>
        <v>8</v>
      </c>
      <c r="G22" s="385">
        <f t="shared" si="0"/>
        <v>0</v>
      </c>
      <c r="H22" s="385">
        <f t="shared" si="0"/>
        <v>0</v>
      </c>
      <c r="I22" s="385">
        <f t="shared" si="0"/>
        <v>0</v>
      </c>
      <c r="J22" s="385">
        <f>J20+J21</f>
        <v>1</v>
      </c>
      <c r="K22" s="385">
        <f>K20+K21</f>
        <v>0</v>
      </c>
      <c r="L22" s="385">
        <f>L20+L21</f>
        <v>429</v>
      </c>
      <c r="M22" s="385">
        <f>M20+M21</f>
        <v>895</v>
      </c>
      <c r="N22" s="860">
        <f>N20+N21</f>
        <v>1324</v>
      </c>
      <c r="O22" s="91" t="s">
        <v>223</v>
      </c>
    </row>
    <row r="23" spans="1:15" ht="14.25">
      <c r="A23" s="921" t="s">
        <v>222</v>
      </c>
      <c r="B23" s="920"/>
      <c r="C23" s="920"/>
      <c r="D23" s="920"/>
      <c r="E23" s="920"/>
      <c r="F23" s="920"/>
      <c r="G23" s="920"/>
      <c r="H23" s="920"/>
      <c r="I23" s="920"/>
      <c r="J23" s="920"/>
      <c r="K23" s="920"/>
      <c r="L23" s="920"/>
      <c r="M23" s="920"/>
      <c r="N23" s="920"/>
      <c r="O23" s="922" t="s">
        <v>1086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O23"/>
  <sheetViews>
    <sheetView rightToLeft="1" view="pageBreakPreview" topLeftCell="A10" zoomScaleNormal="75" zoomScaleSheetLayoutView="100" workbookViewId="0">
      <selection activeCell="A3" sqref="A3:O3"/>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10" style="1" customWidth="1"/>
    <col min="10" max="10" width="10.7109375"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152" t="s">
        <v>358</v>
      </c>
      <c r="B1" s="1152"/>
      <c r="C1" s="1152"/>
      <c r="D1" s="1152"/>
      <c r="E1" s="1152"/>
      <c r="F1" s="1152"/>
      <c r="G1" s="1152"/>
      <c r="H1" s="1152"/>
      <c r="I1" s="1152"/>
      <c r="J1" s="1152"/>
      <c r="K1" s="1152"/>
      <c r="L1" s="1152"/>
      <c r="M1" s="1152"/>
      <c r="N1" s="1152"/>
      <c r="O1" s="1152"/>
    </row>
    <row r="2" spans="1:15" s="2" customFormat="1" ht="15.75">
      <c r="A2" s="1153" t="s">
        <v>677</v>
      </c>
      <c r="B2" s="1153"/>
      <c r="C2" s="1153"/>
      <c r="D2" s="1153"/>
      <c r="E2" s="1153"/>
      <c r="F2" s="1153"/>
      <c r="G2" s="1153"/>
      <c r="H2" s="1153"/>
      <c r="I2" s="1153"/>
      <c r="J2" s="1153"/>
      <c r="K2" s="1153"/>
      <c r="L2" s="1153"/>
      <c r="M2" s="1153"/>
      <c r="N2" s="1153"/>
      <c r="O2" s="1153"/>
    </row>
    <row r="3" spans="1:15" s="2" customFormat="1" ht="15" customHeight="1">
      <c r="A3" s="1154">
        <v>2021</v>
      </c>
      <c r="B3" s="1154"/>
      <c r="C3" s="1154"/>
      <c r="D3" s="1154"/>
      <c r="E3" s="1154"/>
      <c r="F3" s="1154"/>
      <c r="G3" s="1154"/>
      <c r="H3" s="1154"/>
      <c r="I3" s="1154"/>
      <c r="J3" s="1154"/>
      <c r="K3" s="1154"/>
      <c r="L3" s="1154"/>
      <c r="M3" s="1154"/>
      <c r="N3" s="1154"/>
      <c r="O3" s="1154"/>
    </row>
    <row r="4" spans="1:15" s="2" customFormat="1" ht="15.75">
      <c r="A4" s="1155" t="s">
        <v>51</v>
      </c>
      <c r="B4" s="1155"/>
      <c r="C4" s="1155"/>
      <c r="D4" s="1155"/>
      <c r="E4" s="1155"/>
      <c r="F4" s="1155"/>
      <c r="G4" s="1155"/>
      <c r="H4" s="1155"/>
      <c r="I4" s="1155"/>
      <c r="J4" s="1155"/>
      <c r="K4" s="1155"/>
      <c r="L4" s="1155"/>
      <c r="M4" s="1155"/>
      <c r="N4" s="1155"/>
      <c r="O4" s="1155"/>
    </row>
    <row r="5" spans="1:15" s="2" customFormat="1" ht="15.75">
      <c r="A5" s="377"/>
      <c r="B5" s="377"/>
      <c r="C5" s="377"/>
      <c r="D5" s="377"/>
      <c r="E5" s="377"/>
      <c r="F5" s="377"/>
      <c r="G5" s="377"/>
      <c r="H5" s="377"/>
      <c r="I5" s="377"/>
      <c r="J5" s="377"/>
      <c r="K5" s="377"/>
      <c r="L5" s="377"/>
      <c r="M5" s="377"/>
      <c r="N5" s="377"/>
      <c r="O5" s="377"/>
    </row>
    <row r="6" spans="1:15" ht="15.75">
      <c r="A6" s="374" t="s">
        <v>410</v>
      </c>
      <c r="B6" s="378"/>
      <c r="C6" s="378"/>
      <c r="D6" s="378"/>
      <c r="E6" s="378"/>
      <c r="F6" s="378"/>
      <c r="G6" s="378"/>
      <c r="H6" s="378"/>
      <c r="I6" s="378"/>
      <c r="J6" s="378"/>
      <c r="K6" s="378"/>
      <c r="L6" s="378"/>
      <c r="M6" s="378"/>
      <c r="N6" s="378"/>
      <c r="O6" s="376" t="s">
        <v>411</v>
      </c>
    </row>
    <row r="7" spans="1:15" ht="30" customHeight="1" thickBot="1">
      <c r="A7" s="1131" t="s">
        <v>238</v>
      </c>
      <c r="B7" s="1150" t="s">
        <v>237</v>
      </c>
      <c r="C7" s="1150"/>
      <c r="D7" s="1150"/>
      <c r="E7" s="1150"/>
      <c r="F7" s="1150"/>
      <c r="G7" s="1150"/>
      <c r="H7" s="1150"/>
      <c r="I7" s="1150"/>
      <c r="J7" s="1150"/>
      <c r="K7" s="1150"/>
      <c r="L7" s="1150"/>
      <c r="M7" s="1150"/>
      <c r="N7" s="1150"/>
      <c r="O7" s="1138" t="s">
        <v>236</v>
      </c>
    </row>
    <row r="8" spans="1:15" ht="84.75" customHeight="1" thickBot="1">
      <c r="A8" s="1149"/>
      <c r="B8" s="333" t="s">
        <v>722</v>
      </c>
      <c r="C8" s="333" t="s">
        <v>233</v>
      </c>
      <c r="D8" s="333" t="s">
        <v>232</v>
      </c>
      <c r="E8" s="333" t="s">
        <v>231</v>
      </c>
      <c r="F8" s="334" t="s">
        <v>230</v>
      </c>
      <c r="G8" s="334" t="s">
        <v>579</v>
      </c>
      <c r="H8" s="334" t="s">
        <v>723</v>
      </c>
      <c r="I8" s="334" t="s">
        <v>724</v>
      </c>
      <c r="J8" s="334" t="s">
        <v>228</v>
      </c>
      <c r="K8" s="334" t="s">
        <v>227</v>
      </c>
      <c r="L8" s="335" t="s">
        <v>16</v>
      </c>
      <c r="M8" s="334" t="s">
        <v>1085</v>
      </c>
      <c r="N8" s="333" t="s">
        <v>235</v>
      </c>
      <c r="O8" s="1151"/>
    </row>
    <row r="9" spans="1:15" ht="51" customHeight="1" thickBot="1">
      <c r="A9" s="1132"/>
      <c r="B9" s="613" t="s">
        <v>691</v>
      </c>
      <c r="C9" s="614" t="s">
        <v>692</v>
      </c>
      <c r="D9" s="614" t="s">
        <v>693</v>
      </c>
      <c r="E9" s="614" t="s">
        <v>694</v>
      </c>
      <c r="F9" s="601" t="s">
        <v>1019</v>
      </c>
      <c r="G9" s="602" t="s">
        <v>695</v>
      </c>
      <c r="H9" s="602" t="s">
        <v>696</v>
      </c>
      <c r="I9" s="602" t="s">
        <v>697</v>
      </c>
      <c r="J9" s="602" t="s">
        <v>698</v>
      </c>
      <c r="K9" s="602" t="s">
        <v>226</v>
      </c>
      <c r="L9" s="615" t="s">
        <v>55</v>
      </c>
      <c r="M9" s="602" t="s">
        <v>225</v>
      </c>
      <c r="N9" s="459" t="s">
        <v>234</v>
      </c>
      <c r="O9" s="1139"/>
    </row>
    <row r="10" spans="1:15" ht="38.25">
      <c r="A10" s="862" t="s">
        <v>733</v>
      </c>
      <c r="B10" s="461">
        <v>2</v>
      </c>
      <c r="C10" s="461">
        <v>5</v>
      </c>
      <c r="D10" s="461">
        <v>8</v>
      </c>
      <c r="E10" s="461">
        <v>5</v>
      </c>
      <c r="F10" s="461">
        <v>5</v>
      </c>
      <c r="G10" s="461">
        <v>0</v>
      </c>
      <c r="H10" s="461">
        <v>0</v>
      </c>
      <c r="I10" s="461">
        <v>0</v>
      </c>
      <c r="J10" s="461">
        <v>0</v>
      </c>
      <c r="K10" s="518">
        <v>0</v>
      </c>
      <c r="L10" s="462">
        <v>25</v>
      </c>
      <c r="M10" s="461">
        <v>16</v>
      </c>
      <c r="N10" s="462">
        <v>41</v>
      </c>
      <c r="O10" s="737" t="s">
        <v>1095</v>
      </c>
    </row>
    <row r="11" spans="1:15" ht="21.95" customHeight="1">
      <c r="A11" s="802" t="s">
        <v>233</v>
      </c>
      <c r="B11" s="262">
        <v>1</v>
      </c>
      <c r="C11" s="262">
        <v>23</v>
      </c>
      <c r="D11" s="262">
        <v>23</v>
      </c>
      <c r="E11" s="262">
        <v>7</v>
      </c>
      <c r="F11" s="262">
        <v>7</v>
      </c>
      <c r="G11" s="262">
        <v>0</v>
      </c>
      <c r="H11" s="262">
        <v>0</v>
      </c>
      <c r="I11" s="262">
        <v>0</v>
      </c>
      <c r="J11" s="262">
        <v>2</v>
      </c>
      <c r="K11" s="476">
        <v>0</v>
      </c>
      <c r="L11" s="386">
        <v>63</v>
      </c>
      <c r="M11" s="262">
        <v>63</v>
      </c>
      <c r="N11" s="386">
        <v>126</v>
      </c>
      <c r="O11" s="738" t="s">
        <v>1096</v>
      </c>
    </row>
    <row r="12" spans="1:15" ht="38.25">
      <c r="A12" s="802" t="s">
        <v>232</v>
      </c>
      <c r="B12" s="262">
        <v>2</v>
      </c>
      <c r="C12" s="262">
        <v>18</v>
      </c>
      <c r="D12" s="262">
        <v>24</v>
      </c>
      <c r="E12" s="262">
        <v>27</v>
      </c>
      <c r="F12" s="262">
        <v>9</v>
      </c>
      <c r="G12" s="262">
        <v>0</v>
      </c>
      <c r="H12" s="262">
        <v>0</v>
      </c>
      <c r="I12" s="262">
        <v>0</v>
      </c>
      <c r="J12" s="262">
        <v>0</v>
      </c>
      <c r="K12" s="476">
        <v>0</v>
      </c>
      <c r="L12" s="386">
        <v>80</v>
      </c>
      <c r="M12" s="262">
        <v>86</v>
      </c>
      <c r="N12" s="386">
        <v>166</v>
      </c>
      <c r="O12" s="739" t="s">
        <v>1097</v>
      </c>
    </row>
    <row r="13" spans="1:15" ht="21.95" customHeight="1">
      <c r="A13" s="802" t="s">
        <v>231</v>
      </c>
      <c r="B13" s="262">
        <v>1</v>
      </c>
      <c r="C13" s="262">
        <v>5</v>
      </c>
      <c r="D13" s="262">
        <v>12</v>
      </c>
      <c r="E13" s="262">
        <v>19</v>
      </c>
      <c r="F13" s="262">
        <v>12</v>
      </c>
      <c r="G13" s="262">
        <v>0</v>
      </c>
      <c r="H13" s="262">
        <v>0</v>
      </c>
      <c r="I13" s="262">
        <v>0</v>
      </c>
      <c r="J13" s="262">
        <v>2</v>
      </c>
      <c r="K13" s="476">
        <v>0</v>
      </c>
      <c r="L13" s="386">
        <v>51</v>
      </c>
      <c r="M13" s="262">
        <v>77</v>
      </c>
      <c r="N13" s="386">
        <v>128</v>
      </c>
      <c r="O13" s="738" t="s">
        <v>1098</v>
      </c>
    </row>
    <row r="14" spans="1:15" ht="47.25">
      <c r="A14" s="802" t="s">
        <v>230</v>
      </c>
      <c r="B14" s="262">
        <v>0</v>
      </c>
      <c r="C14" s="262">
        <v>1</v>
      </c>
      <c r="D14" s="262">
        <v>4</v>
      </c>
      <c r="E14" s="262">
        <v>9</v>
      </c>
      <c r="F14" s="262">
        <v>8</v>
      </c>
      <c r="G14" s="262">
        <v>0</v>
      </c>
      <c r="H14" s="262">
        <v>0</v>
      </c>
      <c r="I14" s="262">
        <v>0</v>
      </c>
      <c r="J14" s="262">
        <v>2</v>
      </c>
      <c r="K14" s="476">
        <v>0</v>
      </c>
      <c r="L14" s="386">
        <v>24</v>
      </c>
      <c r="M14" s="262">
        <v>24</v>
      </c>
      <c r="N14" s="386">
        <v>48</v>
      </c>
      <c r="O14" s="739" t="s">
        <v>1099</v>
      </c>
    </row>
    <row r="15" spans="1:15" ht="31.5">
      <c r="A15" s="802" t="s">
        <v>229</v>
      </c>
      <c r="B15" s="262">
        <v>0</v>
      </c>
      <c r="C15" s="262">
        <v>0</v>
      </c>
      <c r="D15" s="262">
        <v>0</v>
      </c>
      <c r="E15" s="262">
        <v>0</v>
      </c>
      <c r="F15" s="262">
        <v>0</v>
      </c>
      <c r="G15" s="262">
        <v>0</v>
      </c>
      <c r="H15" s="262">
        <v>0</v>
      </c>
      <c r="I15" s="262">
        <v>0</v>
      </c>
      <c r="J15" s="262">
        <v>0</v>
      </c>
      <c r="K15" s="476">
        <v>0</v>
      </c>
      <c r="L15" s="386">
        <v>0</v>
      </c>
      <c r="M15" s="262">
        <v>0</v>
      </c>
      <c r="N15" s="386">
        <v>0</v>
      </c>
      <c r="O15" s="738" t="s">
        <v>1100</v>
      </c>
    </row>
    <row r="16" spans="1:15" ht="31.5">
      <c r="A16" s="802" t="s">
        <v>734</v>
      </c>
      <c r="B16" s="262">
        <v>0</v>
      </c>
      <c r="C16" s="262">
        <v>0</v>
      </c>
      <c r="D16" s="262">
        <v>1</v>
      </c>
      <c r="E16" s="262">
        <v>0</v>
      </c>
      <c r="F16" s="262">
        <v>1</v>
      </c>
      <c r="G16" s="262">
        <v>0</v>
      </c>
      <c r="H16" s="262">
        <v>0</v>
      </c>
      <c r="I16" s="262">
        <v>0</v>
      </c>
      <c r="J16" s="262">
        <v>0</v>
      </c>
      <c r="K16" s="476">
        <v>0</v>
      </c>
      <c r="L16" s="386">
        <v>2</v>
      </c>
      <c r="M16" s="262">
        <v>2</v>
      </c>
      <c r="N16" s="386">
        <v>4</v>
      </c>
      <c r="O16" s="739" t="s">
        <v>1101</v>
      </c>
    </row>
    <row r="17" spans="1:15" ht="38.25">
      <c r="A17" s="802" t="s">
        <v>735</v>
      </c>
      <c r="B17" s="262">
        <v>0</v>
      </c>
      <c r="C17" s="262">
        <v>1</v>
      </c>
      <c r="D17" s="262">
        <v>2</v>
      </c>
      <c r="E17" s="262">
        <v>0</v>
      </c>
      <c r="F17" s="262">
        <v>1</v>
      </c>
      <c r="G17" s="262">
        <v>0</v>
      </c>
      <c r="H17" s="262">
        <v>0</v>
      </c>
      <c r="I17" s="262">
        <v>1</v>
      </c>
      <c r="J17" s="262">
        <v>0</v>
      </c>
      <c r="K17" s="476">
        <v>0</v>
      </c>
      <c r="L17" s="386">
        <v>5</v>
      </c>
      <c r="M17" s="262">
        <v>3</v>
      </c>
      <c r="N17" s="386">
        <v>8</v>
      </c>
      <c r="O17" s="738" t="s">
        <v>1102</v>
      </c>
    </row>
    <row r="18" spans="1:15" ht="21.95" customHeight="1">
      <c r="A18" s="802" t="s">
        <v>228</v>
      </c>
      <c r="B18" s="262">
        <v>0</v>
      </c>
      <c r="C18" s="262">
        <v>0</v>
      </c>
      <c r="D18" s="262">
        <v>1</v>
      </c>
      <c r="E18" s="262">
        <v>2</v>
      </c>
      <c r="F18" s="262">
        <v>0</v>
      </c>
      <c r="G18" s="262">
        <v>0</v>
      </c>
      <c r="H18" s="262">
        <v>0</v>
      </c>
      <c r="I18" s="262">
        <v>0</v>
      </c>
      <c r="J18" s="262">
        <v>2</v>
      </c>
      <c r="K18" s="476">
        <v>0</v>
      </c>
      <c r="L18" s="386">
        <v>5</v>
      </c>
      <c r="M18" s="262">
        <v>7</v>
      </c>
      <c r="N18" s="386">
        <v>12</v>
      </c>
      <c r="O18" s="739" t="s">
        <v>1103</v>
      </c>
    </row>
    <row r="19" spans="1:15" ht="31.5">
      <c r="A19" s="863" t="s">
        <v>227</v>
      </c>
      <c r="B19" s="460">
        <v>0</v>
      </c>
      <c r="C19" s="460">
        <v>0</v>
      </c>
      <c r="D19" s="460">
        <v>0</v>
      </c>
      <c r="E19" s="460">
        <v>0</v>
      </c>
      <c r="F19" s="460">
        <v>0</v>
      </c>
      <c r="G19" s="460">
        <v>0</v>
      </c>
      <c r="H19" s="460">
        <v>0</v>
      </c>
      <c r="I19" s="460">
        <v>0</v>
      </c>
      <c r="J19" s="460">
        <v>0</v>
      </c>
      <c r="K19" s="477">
        <v>0</v>
      </c>
      <c r="L19" s="385">
        <v>0</v>
      </c>
      <c r="M19" s="460">
        <v>0</v>
      </c>
      <c r="N19" s="385">
        <v>0</v>
      </c>
      <c r="O19" s="738" t="s">
        <v>226</v>
      </c>
    </row>
    <row r="20" spans="1:15" ht="21.95" customHeight="1">
      <c r="A20" s="863" t="s">
        <v>16</v>
      </c>
      <c r="B20" s="385">
        <v>6</v>
      </c>
      <c r="C20" s="385">
        <v>53</v>
      </c>
      <c r="D20" s="385">
        <v>75</v>
      </c>
      <c r="E20" s="385">
        <v>69</v>
      </c>
      <c r="F20" s="385">
        <v>43</v>
      </c>
      <c r="G20" s="385">
        <v>0</v>
      </c>
      <c r="H20" s="385">
        <v>0</v>
      </c>
      <c r="I20" s="385">
        <v>1</v>
      </c>
      <c r="J20" s="385">
        <v>8</v>
      </c>
      <c r="K20" s="385">
        <v>0</v>
      </c>
      <c r="L20" s="385">
        <v>255</v>
      </c>
      <c r="M20" s="385">
        <v>278</v>
      </c>
      <c r="N20" s="385">
        <v>533</v>
      </c>
      <c r="O20" s="304" t="s">
        <v>55</v>
      </c>
    </row>
    <row r="21" spans="1:15" ht="21.95" customHeight="1">
      <c r="A21" s="802" t="s">
        <v>1104</v>
      </c>
      <c r="B21" s="262">
        <v>0</v>
      </c>
      <c r="C21" s="262">
        <v>9</v>
      </c>
      <c r="D21" s="262">
        <v>7</v>
      </c>
      <c r="E21" s="262">
        <v>16</v>
      </c>
      <c r="F21" s="262">
        <v>1</v>
      </c>
      <c r="G21" s="262">
        <v>0</v>
      </c>
      <c r="H21" s="262">
        <v>0</v>
      </c>
      <c r="I21" s="262">
        <v>0</v>
      </c>
      <c r="J21" s="262">
        <v>0</v>
      </c>
      <c r="K21" s="262">
        <v>0</v>
      </c>
      <c r="L21" s="263">
        <v>33</v>
      </c>
      <c r="M21" s="262">
        <v>251</v>
      </c>
      <c r="N21" s="263">
        <v>284</v>
      </c>
      <c r="O21" s="803" t="s">
        <v>225</v>
      </c>
    </row>
    <row r="22" spans="1:15" ht="27" customHeight="1">
      <c r="A22" s="90" t="s">
        <v>224</v>
      </c>
      <c r="B22" s="385">
        <f>B20+B21</f>
        <v>6</v>
      </c>
      <c r="C22" s="385">
        <f t="shared" ref="C22:N22" si="0">C20+C21</f>
        <v>62</v>
      </c>
      <c r="D22" s="385">
        <f t="shared" si="0"/>
        <v>82</v>
      </c>
      <c r="E22" s="385">
        <f t="shared" si="0"/>
        <v>85</v>
      </c>
      <c r="F22" s="385">
        <f t="shared" si="0"/>
        <v>44</v>
      </c>
      <c r="G22" s="385">
        <f t="shared" si="0"/>
        <v>0</v>
      </c>
      <c r="H22" s="385">
        <f t="shared" si="0"/>
        <v>0</v>
      </c>
      <c r="I22" s="385">
        <f t="shared" si="0"/>
        <v>1</v>
      </c>
      <c r="J22" s="385">
        <f t="shared" si="0"/>
        <v>8</v>
      </c>
      <c r="K22" s="385">
        <f t="shared" si="0"/>
        <v>0</v>
      </c>
      <c r="L22" s="385">
        <f t="shared" si="0"/>
        <v>288</v>
      </c>
      <c r="M22" s="385">
        <f t="shared" si="0"/>
        <v>529</v>
      </c>
      <c r="N22" s="385">
        <f t="shared" si="0"/>
        <v>817</v>
      </c>
      <c r="O22" s="91" t="s">
        <v>223</v>
      </c>
    </row>
    <row r="23" spans="1:15" ht="14.25">
      <c r="A23" s="921" t="s">
        <v>222</v>
      </c>
      <c r="B23" s="920"/>
      <c r="C23" s="920"/>
      <c r="D23" s="920"/>
      <c r="E23" s="920"/>
      <c r="F23" s="920"/>
      <c r="G23" s="920"/>
      <c r="H23" s="920"/>
      <c r="I23" s="920"/>
      <c r="J23" s="920"/>
      <c r="K23" s="920"/>
      <c r="L23" s="920"/>
      <c r="M23" s="920"/>
      <c r="N23" s="920"/>
      <c r="O23" s="922" t="s">
        <v>1086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O44"/>
  <sheetViews>
    <sheetView rightToLeft="1" view="pageBreakPreview" topLeftCell="A10" zoomScaleNormal="100" zoomScaleSheetLayoutView="100" workbookViewId="0">
      <selection activeCell="C36" sqref="C36"/>
    </sheetView>
  </sheetViews>
  <sheetFormatPr defaultColWidth="9.140625" defaultRowHeight="12.75"/>
  <cols>
    <col min="1" max="1" width="23.140625" style="1" customWidth="1"/>
    <col min="2" max="2" width="12.140625" style="1" customWidth="1"/>
    <col min="3" max="3" width="11.7109375" style="1" customWidth="1"/>
    <col min="4" max="4" width="10.42578125" style="1" customWidth="1"/>
    <col min="5" max="5" width="6.85546875" style="1" customWidth="1"/>
    <col min="6" max="6" width="10.5703125" style="1" customWidth="1"/>
    <col min="7" max="7" width="10" style="1" customWidth="1"/>
    <col min="8" max="8" width="8.5703125" style="1" customWidth="1"/>
    <col min="9" max="9" width="10" style="1" customWidth="1"/>
    <col min="10" max="10" width="10.7109375" style="1" customWidth="1"/>
    <col min="11" max="11" width="9.28515625" style="1" customWidth="1"/>
    <col min="12" max="12" width="7.140625" style="1" customWidth="1"/>
    <col min="13" max="13" width="8.140625" style="1" customWidth="1"/>
    <col min="14" max="14" width="10" style="1" customWidth="1"/>
    <col min="15" max="15" width="27.85546875" style="1" customWidth="1"/>
    <col min="16" max="16384" width="9.140625" style="1"/>
  </cols>
  <sheetData>
    <row r="1" spans="1:15" s="2" customFormat="1" ht="18.75" customHeight="1">
      <c r="A1" s="1152" t="s">
        <v>358</v>
      </c>
      <c r="B1" s="1152"/>
      <c r="C1" s="1152"/>
      <c r="D1" s="1152"/>
      <c r="E1" s="1152"/>
      <c r="F1" s="1152"/>
      <c r="G1" s="1152"/>
      <c r="H1" s="1152"/>
      <c r="I1" s="1152"/>
      <c r="J1" s="1152"/>
      <c r="K1" s="1152"/>
      <c r="L1" s="1152"/>
      <c r="M1" s="1152"/>
      <c r="N1" s="1152"/>
      <c r="O1" s="1152"/>
    </row>
    <row r="2" spans="1:15" s="2" customFormat="1" ht="15.75">
      <c r="A2" s="1153" t="s">
        <v>678</v>
      </c>
      <c r="B2" s="1153"/>
      <c r="C2" s="1153"/>
      <c r="D2" s="1153"/>
      <c r="E2" s="1153"/>
      <c r="F2" s="1153"/>
      <c r="G2" s="1153"/>
      <c r="H2" s="1153"/>
      <c r="I2" s="1153"/>
      <c r="J2" s="1153"/>
      <c r="K2" s="1153"/>
      <c r="L2" s="1153"/>
      <c r="M2" s="1153"/>
      <c r="N2" s="1153"/>
      <c r="O2" s="1153"/>
    </row>
    <row r="3" spans="1:15" s="2" customFormat="1" ht="15" customHeight="1">
      <c r="A3" s="1154">
        <v>2021</v>
      </c>
      <c r="B3" s="1154"/>
      <c r="C3" s="1154"/>
      <c r="D3" s="1154"/>
      <c r="E3" s="1154"/>
      <c r="F3" s="1154"/>
      <c r="G3" s="1154"/>
      <c r="H3" s="1154"/>
      <c r="I3" s="1154"/>
      <c r="J3" s="1154"/>
      <c r="K3" s="1154"/>
      <c r="L3" s="1154"/>
      <c r="M3" s="1154"/>
      <c r="N3" s="1154"/>
      <c r="O3" s="1154"/>
    </row>
    <row r="4" spans="1:15" s="2" customFormat="1" ht="15.75">
      <c r="A4" s="1155" t="s">
        <v>1</v>
      </c>
      <c r="B4" s="1155"/>
      <c r="C4" s="1155"/>
      <c r="D4" s="1155"/>
      <c r="E4" s="1155"/>
      <c r="F4" s="1155"/>
      <c r="G4" s="1155"/>
      <c r="H4" s="1155"/>
      <c r="I4" s="1155"/>
      <c r="J4" s="1155"/>
      <c r="K4" s="1155"/>
      <c r="L4" s="1155"/>
      <c r="M4" s="1155"/>
      <c r="N4" s="1155"/>
      <c r="O4" s="1155"/>
    </row>
    <row r="5" spans="1:15" s="2" customFormat="1" ht="15.75">
      <c r="A5" s="748"/>
      <c r="B5" s="748"/>
      <c r="C5" s="748"/>
      <c r="D5" s="748"/>
      <c r="E5" s="748"/>
      <c r="F5" s="748"/>
      <c r="G5" s="748"/>
      <c r="H5" s="748"/>
      <c r="I5" s="748"/>
      <c r="J5" s="748"/>
      <c r="K5" s="748"/>
      <c r="L5" s="748"/>
      <c r="M5" s="748"/>
      <c r="N5" s="748"/>
      <c r="O5" s="748"/>
    </row>
    <row r="6" spans="1:15" ht="15.75">
      <c r="A6" s="374" t="s">
        <v>408</v>
      </c>
      <c r="B6" s="378"/>
      <c r="C6" s="378"/>
      <c r="D6" s="378"/>
      <c r="E6" s="378"/>
      <c r="F6" s="378"/>
      <c r="G6" s="378"/>
      <c r="H6" s="378"/>
      <c r="I6" s="378"/>
      <c r="J6" s="378"/>
      <c r="K6" s="378"/>
      <c r="L6" s="378"/>
      <c r="M6" s="378"/>
      <c r="N6" s="378"/>
      <c r="O6" s="376" t="s">
        <v>409</v>
      </c>
    </row>
    <row r="7" spans="1:15" ht="30" customHeight="1" thickBot="1">
      <c r="A7" s="1131" t="s">
        <v>238</v>
      </c>
      <c r="B7" s="1150" t="s">
        <v>237</v>
      </c>
      <c r="C7" s="1150"/>
      <c r="D7" s="1150"/>
      <c r="E7" s="1150"/>
      <c r="F7" s="1150"/>
      <c r="G7" s="1150"/>
      <c r="H7" s="1150"/>
      <c r="I7" s="1150"/>
      <c r="J7" s="1150"/>
      <c r="K7" s="1150"/>
      <c r="L7" s="1150"/>
      <c r="M7" s="1150"/>
      <c r="N7" s="1150"/>
      <c r="O7" s="1138" t="s">
        <v>236</v>
      </c>
    </row>
    <row r="8" spans="1:15" ht="84.75" customHeight="1" thickBot="1">
      <c r="A8" s="1149"/>
      <c r="B8" s="333" t="s">
        <v>722</v>
      </c>
      <c r="C8" s="333" t="s">
        <v>233</v>
      </c>
      <c r="D8" s="333" t="s">
        <v>232</v>
      </c>
      <c r="E8" s="333" t="s">
        <v>231</v>
      </c>
      <c r="F8" s="334" t="s">
        <v>230</v>
      </c>
      <c r="G8" s="334" t="s">
        <v>579</v>
      </c>
      <c r="H8" s="334" t="s">
        <v>723</v>
      </c>
      <c r="I8" s="334" t="s">
        <v>724</v>
      </c>
      <c r="J8" s="334" t="s">
        <v>228</v>
      </c>
      <c r="K8" s="334" t="s">
        <v>227</v>
      </c>
      <c r="L8" s="335" t="s">
        <v>16</v>
      </c>
      <c r="M8" s="334" t="s">
        <v>1085</v>
      </c>
      <c r="N8" s="333" t="s">
        <v>235</v>
      </c>
      <c r="O8" s="1151"/>
    </row>
    <row r="9" spans="1:15" ht="51" customHeight="1" thickBot="1">
      <c r="A9" s="1132"/>
      <c r="B9" s="613" t="s">
        <v>691</v>
      </c>
      <c r="C9" s="614" t="s">
        <v>692</v>
      </c>
      <c r="D9" s="614" t="s">
        <v>693</v>
      </c>
      <c r="E9" s="614" t="s">
        <v>694</v>
      </c>
      <c r="F9" s="601" t="s">
        <v>1019</v>
      </c>
      <c r="G9" s="602" t="s">
        <v>695</v>
      </c>
      <c r="H9" s="602" t="s">
        <v>696</v>
      </c>
      <c r="I9" s="602" t="s">
        <v>697</v>
      </c>
      <c r="J9" s="602" t="s">
        <v>698</v>
      </c>
      <c r="K9" s="602" t="s">
        <v>226</v>
      </c>
      <c r="L9" s="615" t="s">
        <v>55</v>
      </c>
      <c r="M9" s="602" t="s">
        <v>225</v>
      </c>
      <c r="N9" s="459" t="s">
        <v>234</v>
      </c>
      <c r="O9" s="1139"/>
    </row>
    <row r="10" spans="1:15" ht="31.5">
      <c r="A10" s="862" t="s">
        <v>733</v>
      </c>
      <c r="B10" s="461">
        <v>4</v>
      </c>
      <c r="C10" s="461">
        <v>8</v>
      </c>
      <c r="D10" s="461">
        <v>30</v>
      </c>
      <c r="E10" s="461">
        <v>23</v>
      </c>
      <c r="F10" s="461">
        <v>6</v>
      </c>
      <c r="G10" s="461">
        <v>0</v>
      </c>
      <c r="H10" s="461">
        <v>0</v>
      </c>
      <c r="I10" s="461">
        <v>0</v>
      </c>
      <c r="J10" s="461">
        <v>0</v>
      </c>
      <c r="K10" s="518">
        <v>0</v>
      </c>
      <c r="L10" s="462">
        <v>71</v>
      </c>
      <c r="M10" s="461">
        <v>123</v>
      </c>
      <c r="N10" s="462">
        <v>194</v>
      </c>
      <c r="O10" s="737" t="s">
        <v>691</v>
      </c>
    </row>
    <row r="11" spans="1:15" ht="21.95" customHeight="1">
      <c r="A11" s="802" t="s">
        <v>233</v>
      </c>
      <c r="B11" s="262">
        <v>1</v>
      </c>
      <c r="C11" s="262">
        <v>30</v>
      </c>
      <c r="D11" s="262">
        <v>34</v>
      </c>
      <c r="E11" s="262">
        <v>10</v>
      </c>
      <c r="F11" s="262">
        <v>8</v>
      </c>
      <c r="G11" s="262">
        <v>0</v>
      </c>
      <c r="H11" s="262">
        <v>0</v>
      </c>
      <c r="I11" s="262">
        <v>0</v>
      </c>
      <c r="J11" s="262">
        <v>2</v>
      </c>
      <c r="K11" s="476">
        <v>0</v>
      </c>
      <c r="L11" s="386">
        <v>85</v>
      </c>
      <c r="M11" s="262">
        <v>87</v>
      </c>
      <c r="N11" s="386">
        <v>172</v>
      </c>
      <c r="O11" s="738" t="s">
        <v>692</v>
      </c>
    </row>
    <row r="12" spans="1:15" ht="31.5">
      <c r="A12" s="802" t="s">
        <v>232</v>
      </c>
      <c r="B12" s="262">
        <v>4</v>
      </c>
      <c r="C12" s="262">
        <v>30</v>
      </c>
      <c r="D12" s="262">
        <v>71</v>
      </c>
      <c r="E12" s="262">
        <v>57</v>
      </c>
      <c r="F12" s="262">
        <v>9</v>
      </c>
      <c r="G12" s="262">
        <v>0</v>
      </c>
      <c r="H12" s="262">
        <v>0</v>
      </c>
      <c r="I12" s="262">
        <v>0</v>
      </c>
      <c r="J12" s="262">
        <v>0</v>
      </c>
      <c r="K12" s="476">
        <v>0</v>
      </c>
      <c r="L12" s="386">
        <v>171</v>
      </c>
      <c r="M12" s="262">
        <v>254</v>
      </c>
      <c r="N12" s="386">
        <v>425</v>
      </c>
      <c r="O12" s="739" t="s">
        <v>693</v>
      </c>
    </row>
    <row r="13" spans="1:15" ht="21.95" customHeight="1">
      <c r="A13" s="802" t="s">
        <v>231</v>
      </c>
      <c r="B13" s="262">
        <v>2</v>
      </c>
      <c r="C13" s="262">
        <v>28</v>
      </c>
      <c r="D13" s="262">
        <v>59</v>
      </c>
      <c r="E13" s="262">
        <v>124</v>
      </c>
      <c r="F13" s="262">
        <v>13</v>
      </c>
      <c r="G13" s="262">
        <v>0</v>
      </c>
      <c r="H13" s="262">
        <v>0</v>
      </c>
      <c r="I13" s="262">
        <v>0</v>
      </c>
      <c r="J13" s="262">
        <v>2</v>
      </c>
      <c r="K13" s="476">
        <v>0</v>
      </c>
      <c r="L13" s="386">
        <v>228</v>
      </c>
      <c r="M13" s="262">
        <v>410</v>
      </c>
      <c r="N13" s="386">
        <v>638</v>
      </c>
      <c r="O13" s="738" t="s">
        <v>694</v>
      </c>
    </row>
    <row r="14" spans="1:15" ht="47.25">
      <c r="A14" s="802" t="s">
        <v>230</v>
      </c>
      <c r="B14" s="262">
        <v>0</v>
      </c>
      <c r="C14" s="262">
        <v>4</v>
      </c>
      <c r="D14" s="262">
        <v>8</v>
      </c>
      <c r="E14" s="262">
        <v>38</v>
      </c>
      <c r="F14" s="262">
        <v>12</v>
      </c>
      <c r="G14" s="262">
        <v>0</v>
      </c>
      <c r="H14" s="262">
        <v>0</v>
      </c>
      <c r="I14" s="262">
        <v>0</v>
      </c>
      <c r="J14" s="262">
        <v>2</v>
      </c>
      <c r="K14" s="476">
        <v>0</v>
      </c>
      <c r="L14" s="386">
        <v>64</v>
      </c>
      <c r="M14" s="262">
        <v>107</v>
      </c>
      <c r="N14" s="386">
        <v>171</v>
      </c>
      <c r="O14" s="739" t="s">
        <v>1019</v>
      </c>
    </row>
    <row r="15" spans="1:15" ht="31.5">
      <c r="A15" s="802" t="s">
        <v>579</v>
      </c>
      <c r="B15" s="262">
        <v>0</v>
      </c>
      <c r="C15" s="262">
        <v>0</v>
      </c>
      <c r="D15" s="262">
        <v>0</v>
      </c>
      <c r="E15" s="262">
        <v>0</v>
      </c>
      <c r="F15" s="262">
        <v>0</v>
      </c>
      <c r="G15" s="262">
        <v>0</v>
      </c>
      <c r="H15" s="262">
        <v>0</v>
      </c>
      <c r="I15" s="262">
        <v>0</v>
      </c>
      <c r="J15" s="262">
        <v>0</v>
      </c>
      <c r="K15" s="476">
        <v>0</v>
      </c>
      <c r="L15" s="386">
        <v>0</v>
      </c>
      <c r="M15" s="262">
        <v>0</v>
      </c>
      <c r="N15" s="386">
        <v>0</v>
      </c>
      <c r="O15" s="738" t="s">
        <v>695</v>
      </c>
    </row>
    <row r="16" spans="1:15" ht="31.5">
      <c r="A16" s="802" t="s">
        <v>734</v>
      </c>
      <c r="B16" s="262">
        <v>0</v>
      </c>
      <c r="C16" s="262">
        <v>0</v>
      </c>
      <c r="D16" s="262">
        <v>1</v>
      </c>
      <c r="E16" s="262">
        <v>0</v>
      </c>
      <c r="F16" s="262">
        <v>1</v>
      </c>
      <c r="G16" s="262">
        <v>0</v>
      </c>
      <c r="H16" s="262">
        <v>0</v>
      </c>
      <c r="I16" s="262">
        <v>0</v>
      </c>
      <c r="J16" s="262">
        <v>0</v>
      </c>
      <c r="K16" s="476">
        <v>0</v>
      </c>
      <c r="L16" s="386">
        <v>2</v>
      </c>
      <c r="M16" s="262">
        <v>2</v>
      </c>
      <c r="N16" s="386">
        <v>4</v>
      </c>
      <c r="O16" s="739" t="s">
        <v>696</v>
      </c>
    </row>
    <row r="17" spans="1:15" ht="31.5">
      <c r="A17" s="802" t="s">
        <v>735</v>
      </c>
      <c r="B17" s="262">
        <v>0</v>
      </c>
      <c r="C17" s="262">
        <v>1</v>
      </c>
      <c r="D17" s="262">
        <v>2</v>
      </c>
      <c r="E17" s="262">
        <v>0</v>
      </c>
      <c r="F17" s="262">
        <v>1</v>
      </c>
      <c r="G17" s="262">
        <v>0</v>
      </c>
      <c r="H17" s="262">
        <v>0</v>
      </c>
      <c r="I17" s="262">
        <v>1</v>
      </c>
      <c r="J17" s="262">
        <v>0</v>
      </c>
      <c r="K17" s="476">
        <v>0</v>
      </c>
      <c r="L17" s="386">
        <v>5</v>
      </c>
      <c r="M17" s="262">
        <v>5</v>
      </c>
      <c r="N17" s="386">
        <v>10</v>
      </c>
      <c r="O17" s="738" t="s">
        <v>697</v>
      </c>
    </row>
    <row r="18" spans="1:15" ht="21.95" customHeight="1">
      <c r="A18" s="802" t="s">
        <v>228</v>
      </c>
      <c r="B18" s="262">
        <v>0</v>
      </c>
      <c r="C18" s="262">
        <v>4</v>
      </c>
      <c r="D18" s="262">
        <v>3</v>
      </c>
      <c r="E18" s="262">
        <v>20</v>
      </c>
      <c r="F18" s="262">
        <v>1</v>
      </c>
      <c r="G18" s="262">
        <v>0</v>
      </c>
      <c r="H18" s="262">
        <v>0</v>
      </c>
      <c r="I18" s="262">
        <v>0</v>
      </c>
      <c r="J18" s="262">
        <v>2</v>
      </c>
      <c r="K18" s="476">
        <v>0</v>
      </c>
      <c r="L18" s="386">
        <v>30</v>
      </c>
      <c r="M18" s="262">
        <v>36</v>
      </c>
      <c r="N18" s="386">
        <v>66</v>
      </c>
      <c r="O18" s="739" t="s">
        <v>698</v>
      </c>
    </row>
    <row r="19" spans="1:15" ht="31.5">
      <c r="A19" s="863" t="s">
        <v>227</v>
      </c>
      <c r="B19" s="460">
        <v>0</v>
      </c>
      <c r="C19" s="460">
        <v>0</v>
      </c>
      <c r="D19" s="460">
        <v>0</v>
      </c>
      <c r="E19" s="460">
        <v>0</v>
      </c>
      <c r="F19" s="460">
        <v>0</v>
      </c>
      <c r="G19" s="460">
        <v>0</v>
      </c>
      <c r="H19" s="460">
        <v>0</v>
      </c>
      <c r="I19" s="460">
        <v>0</v>
      </c>
      <c r="J19" s="460">
        <v>0</v>
      </c>
      <c r="K19" s="477">
        <v>0</v>
      </c>
      <c r="L19" s="385">
        <v>0</v>
      </c>
      <c r="M19" s="460">
        <v>0</v>
      </c>
      <c r="N19" s="385">
        <v>0</v>
      </c>
      <c r="O19" s="738" t="s">
        <v>226</v>
      </c>
    </row>
    <row r="20" spans="1:15" ht="21.95" customHeight="1">
      <c r="A20" s="863" t="s">
        <v>16</v>
      </c>
      <c r="B20" s="385">
        <v>11</v>
      </c>
      <c r="C20" s="385">
        <v>105</v>
      </c>
      <c r="D20" s="385">
        <v>208</v>
      </c>
      <c r="E20" s="385">
        <v>272</v>
      </c>
      <c r="F20" s="385">
        <v>51</v>
      </c>
      <c r="G20" s="385">
        <v>0</v>
      </c>
      <c r="H20" s="385">
        <v>0</v>
      </c>
      <c r="I20" s="385">
        <v>1</v>
      </c>
      <c r="J20" s="385">
        <v>8</v>
      </c>
      <c r="K20" s="385">
        <v>0</v>
      </c>
      <c r="L20" s="860">
        <v>656</v>
      </c>
      <c r="M20" s="860">
        <v>1024</v>
      </c>
      <c r="N20" s="860">
        <v>1680</v>
      </c>
      <c r="O20" s="304" t="s">
        <v>55</v>
      </c>
    </row>
    <row r="21" spans="1:15" ht="21.95" customHeight="1">
      <c r="A21" s="802" t="s">
        <v>1037</v>
      </c>
      <c r="B21" s="262">
        <v>0</v>
      </c>
      <c r="C21" s="262">
        <v>15</v>
      </c>
      <c r="D21" s="262">
        <v>15</v>
      </c>
      <c r="E21" s="262">
        <v>29</v>
      </c>
      <c r="F21" s="262">
        <v>1</v>
      </c>
      <c r="G21" s="262">
        <v>0</v>
      </c>
      <c r="H21" s="262">
        <v>0</v>
      </c>
      <c r="I21" s="262">
        <v>0</v>
      </c>
      <c r="J21" s="262">
        <v>1</v>
      </c>
      <c r="K21" s="262">
        <v>0</v>
      </c>
      <c r="L21" s="861">
        <v>61</v>
      </c>
      <c r="M21" s="911">
        <v>400</v>
      </c>
      <c r="N21" s="861">
        <v>461</v>
      </c>
      <c r="O21" s="803" t="s">
        <v>1038</v>
      </c>
    </row>
    <row r="22" spans="1:15" ht="27" customHeight="1">
      <c r="A22" s="90" t="s">
        <v>224</v>
      </c>
      <c r="B22" s="385">
        <f>B21+B20</f>
        <v>11</v>
      </c>
      <c r="C22" s="385">
        <f t="shared" ref="C22:M22" si="0">C21+C20</f>
        <v>120</v>
      </c>
      <c r="D22" s="385">
        <f t="shared" si="0"/>
        <v>223</v>
      </c>
      <c r="E22" s="385">
        <f t="shared" si="0"/>
        <v>301</v>
      </c>
      <c r="F22" s="385">
        <f t="shared" si="0"/>
        <v>52</v>
      </c>
      <c r="G22" s="385">
        <f t="shared" si="0"/>
        <v>0</v>
      </c>
      <c r="H22" s="385">
        <f t="shared" si="0"/>
        <v>0</v>
      </c>
      <c r="I22" s="385">
        <f t="shared" si="0"/>
        <v>1</v>
      </c>
      <c r="J22" s="385">
        <f t="shared" si="0"/>
        <v>9</v>
      </c>
      <c r="K22" s="385">
        <f t="shared" si="0"/>
        <v>0</v>
      </c>
      <c r="L22" s="860">
        <f t="shared" si="0"/>
        <v>717</v>
      </c>
      <c r="M22" s="860">
        <f t="shared" si="0"/>
        <v>1424</v>
      </c>
      <c r="N22" s="860">
        <f>N21+N20</f>
        <v>2141</v>
      </c>
      <c r="O22" s="91" t="s">
        <v>223</v>
      </c>
    </row>
    <row r="23" spans="1:15" s="920" customFormat="1" ht="17.25" customHeight="1">
      <c r="A23" s="921" t="s">
        <v>222</v>
      </c>
      <c r="O23" s="922" t="s">
        <v>1086</v>
      </c>
    </row>
    <row r="27" spans="1:15">
      <c r="A27" s="1" t="s">
        <v>245</v>
      </c>
      <c r="B27" s="1" t="s">
        <v>218</v>
      </c>
      <c r="C27" s="1" t="s">
        <v>217</v>
      </c>
    </row>
    <row r="28" spans="1:15">
      <c r="A28" s="1" t="s">
        <v>253</v>
      </c>
      <c r="B28" s="1">
        <f>N13</f>
        <v>638</v>
      </c>
      <c r="C28" s="1">
        <f>E22</f>
        <v>301</v>
      </c>
    </row>
    <row r="29" spans="1:15">
      <c r="A29" s="1" t="s">
        <v>248</v>
      </c>
      <c r="B29" s="1">
        <f>N18</f>
        <v>66</v>
      </c>
      <c r="C29" s="1">
        <f>J22</f>
        <v>9</v>
      </c>
    </row>
    <row r="30" spans="1:15">
      <c r="A30" s="1" t="s">
        <v>252</v>
      </c>
      <c r="B30" s="1">
        <f>N14</f>
        <v>171</v>
      </c>
      <c r="C30" s="1">
        <f>F22</f>
        <v>52</v>
      </c>
    </row>
    <row r="31" spans="1:15">
      <c r="A31" s="1" t="s">
        <v>255</v>
      </c>
      <c r="B31" s="1">
        <f>N11</f>
        <v>172</v>
      </c>
      <c r="C31" s="1">
        <f>C22</f>
        <v>120</v>
      </c>
    </row>
    <row r="32" spans="1:15">
      <c r="A32" s="1" t="s">
        <v>254</v>
      </c>
      <c r="B32" s="1">
        <f>N12</f>
        <v>425</v>
      </c>
      <c r="C32" s="1">
        <f>D22</f>
        <v>223</v>
      </c>
    </row>
    <row r="33" spans="1:4">
      <c r="A33" s="1" t="s">
        <v>725</v>
      </c>
      <c r="B33" s="1">
        <f>N10</f>
        <v>194</v>
      </c>
      <c r="C33" s="1">
        <f>B22</f>
        <v>11</v>
      </c>
    </row>
    <row r="34" spans="1:4">
      <c r="A34" s="1" t="s">
        <v>246</v>
      </c>
      <c r="B34" s="1">
        <f>N21</f>
        <v>461</v>
      </c>
      <c r="C34" s="1">
        <f>M22</f>
        <v>1424</v>
      </c>
    </row>
    <row r="35" spans="1:4">
      <c r="A35" s="1" t="s">
        <v>716</v>
      </c>
      <c r="B35" s="1">
        <f>B44</f>
        <v>14</v>
      </c>
      <c r="C35" s="1">
        <f>C44</f>
        <v>1</v>
      </c>
    </row>
    <row r="36" spans="1:4">
      <c r="B36" s="1">
        <f>SUM(B28:B35)</f>
        <v>2141</v>
      </c>
      <c r="C36" s="1">
        <f>SUM(C28:C35)</f>
        <v>2141</v>
      </c>
      <c r="D36" s="1">
        <f>SUM(B36:C36)</f>
        <v>4282</v>
      </c>
    </row>
    <row r="40" spans="1:4">
      <c r="A40" s="1" t="s">
        <v>250</v>
      </c>
      <c r="B40" s="1">
        <f>N16</f>
        <v>4</v>
      </c>
      <c r="C40" s="1">
        <f>H22</f>
        <v>0</v>
      </c>
    </row>
    <row r="41" spans="1:4">
      <c r="A41" s="1" t="s">
        <v>249</v>
      </c>
      <c r="B41" s="1">
        <f>N17</f>
        <v>10</v>
      </c>
      <c r="C41" s="1">
        <f>I22</f>
        <v>1</v>
      </c>
    </row>
    <row r="42" spans="1:4">
      <c r="A42" s="1" t="s">
        <v>251</v>
      </c>
      <c r="B42" s="1">
        <f>N15</f>
        <v>0</v>
      </c>
      <c r="C42" s="1">
        <f>G22</f>
        <v>0</v>
      </c>
    </row>
    <row r="43" spans="1:4">
      <c r="A43" s="1" t="s">
        <v>247</v>
      </c>
      <c r="B43" s="1">
        <f>N19</f>
        <v>0</v>
      </c>
      <c r="C43" s="1">
        <f>K22</f>
        <v>0</v>
      </c>
    </row>
    <row r="44" spans="1:4">
      <c r="B44" s="1">
        <f>SUM(B40:B43)</f>
        <v>14</v>
      </c>
      <c r="C44" s="1">
        <f>SUM(C40:C43)</f>
        <v>1</v>
      </c>
    </row>
  </sheetData>
  <sortState ref="A51:C63">
    <sortCondition descending="1" ref="B51"/>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37:N37"/>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7" spans="1:14" ht="15.75">
      <c r="A37" s="1070" t="s">
        <v>359</v>
      </c>
      <c r="B37" s="1070"/>
      <c r="C37" s="1070"/>
      <c r="D37" s="1070"/>
      <c r="E37" s="1070"/>
      <c r="F37" s="1070"/>
      <c r="G37" s="1070"/>
      <c r="H37" s="1070"/>
      <c r="I37" s="1070"/>
      <c r="J37" s="1070"/>
      <c r="K37" s="1070"/>
      <c r="L37" s="1070"/>
      <c r="M37" s="1070"/>
      <c r="N37" s="1070"/>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Z39"/>
  <sheetViews>
    <sheetView rightToLeft="1" view="pageBreakPreview" topLeftCell="I7" zoomScaleNormal="100" zoomScaleSheetLayoutView="100" workbookViewId="0">
      <selection activeCell="T27" sqref="T27"/>
    </sheetView>
  </sheetViews>
  <sheetFormatPr defaultColWidth="9.140625" defaultRowHeight="12.75"/>
  <cols>
    <col min="1" max="1" width="26.7109375" style="1" customWidth="1"/>
    <col min="2" max="2" width="23.140625" style="1" customWidth="1"/>
    <col min="3" max="8" width="20.28515625" style="1" customWidth="1"/>
    <col min="9" max="9" width="22.85546875" style="1" customWidth="1"/>
    <col min="10" max="10" width="7.42578125" style="1" customWidth="1"/>
    <col min="11" max="11" width="7.85546875" style="1" customWidth="1"/>
    <col min="12" max="12" width="6.42578125" style="1" customWidth="1"/>
    <col min="13" max="13" width="7.140625" style="1" customWidth="1"/>
    <col min="14" max="14" width="6.7109375" style="1" customWidth="1"/>
    <col min="15" max="15" width="7.42578125" style="1" customWidth="1"/>
    <col min="16" max="16" width="7" style="1" customWidth="1"/>
    <col min="17" max="17" width="8.5703125" style="1" customWidth="1"/>
    <col min="18" max="18" width="6.5703125" style="1" customWidth="1"/>
    <col min="19" max="19" width="7.140625" style="1" customWidth="1"/>
    <col min="20" max="20" width="12.28515625" style="1" customWidth="1"/>
    <col min="21" max="21" width="9.140625" style="1" customWidth="1"/>
    <col min="22" max="22" width="21.28515625" style="1" customWidth="1"/>
    <col min="23" max="16384" width="9.140625" style="1"/>
  </cols>
  <sheetData>
    <row r="1" spans="1:26" s="2" customFormat="1" ht="21.75" customHeight="1">
      <c r="I1" s="1041" t="s">
        <v>364</v>
      </c>
      <c r="J1" s="1041"/>
      <c r="K1" s="1041"/>
      <c r="L1" s="1041"/>
      <c r="M1" s="1041"/>
      <c r="N1" s="1041"/>
      <c r="O1" s="1041"/>
      <c r="P1" s="1041"/>
      <c r="Q1" s="1041"/>
      <c r="R1" s="1041"/>
      <c r="S1" s="1041"/>
      <c r="T1" s="1041"/>
      <c r="U1" s="1041"/>
      <c r="V1" s="1041"/>
    </row>
    <row r="2" spans="1:26" s="2" customFormat="1" ht="15.75">
      <c r="I2" s="1068" t="s">
        <v>363</v>
      </c>
      <c r="J2" s="1068"/>
      <c r="K2" s="1068"/>
      <c r="L2" s="1068"/>
      <c r="M2" s="1068"/>
      <c r="N2" s="1068"/>
      <c r="O2" s="1068"/>
      <c r="P2" s="1068"/>
      <c r="Q2" s="1068"/>
      <c r="R2" s="1068"/>
      <c r="S2" s="1068"/>
      <c r="T2" s="1068"/>
      <c r="U2" s="1068"/>
      <c r="V2" s="1068"/>
    </row>
    <row r="3" spans="1:26" s="2" customFormat="1" ht="18" customHeight="1">
      <c r="A3" s="2">
        <v>2013</v>
      </c>
      <c r="I3" s="1069">
        <v>2021</v>
      </c>
      <c r="J3" s="1069"/>
      <c r="K3" s="1069"/>
      <c r="L3" s="1069"/>
      <c r="M3" s="1069"/>
      <c r="N3" s="1069"/>
      <c r="O3" s="1069"/>
      <c r="P3" s="1069"/>
      <c r="Q3" s="1069"/>
      <c r="R3" s="1069"/>
      <c r="S3" s="1069"/>
      <c r="T3" s="1069"/>
      <c r="U3" s="1069"/>
      <c r="V3" s="1069"/>
      <c r="W3" s="54"/>
      <c r="X3" s="54"/>
      <c r="Y3" s="54"/>
      <c r="Z3" s="54"/>
    </row>
    <row r="4" spans="1:26" s="2" customFormat="1" ht="15.75">
      <c r="I4" s="1069" t="s">
        <v>362</v>
      </c>
      <c r="J4" s="1069"/>
      <c r="K4" s="1069"/>
      <c r="L4" s="1069"/>
      <c r="M4" s="1069"/>
      <c r="N4" s="1069"/>
      <c r="O4" s="1069"/>
      <c r="P4" s="1069"/>
      <c r="Q4" s="1069"/>
      <c r="R4" s="1069"/>
      <c r="S4" s="1069"/>
      <c r="T4" s="1069"/>
      <c r="U4" s="1069"/>
      <c r="V4" s="1069"/>
    </row>
    <row r="5" spans="1:26" s="2" customFormat="1" ht="15.75">
      <c r="I5" s="362"/>
      <c r="J5" s="362"/>
      <c r="K5" s="362"/>
      <c r="L5" s="362"/>
      <c r="M5" s="362"/>
      <c r="N5" s="362"/>
      <c r="O5" s="362"/>
      <c r="P5" s="362"/>
      <c r="Q5" s="362"/>
      <c r="R5" s="362"/>
      <c r="S5" s="362"/>
      <c r="T5" s="362"/>
      <c r="U5" s="362"/>
      <c r="V5" s="362"/>
    </row>
    <row r="6" spans="1:26" ht="15.75">
      <c r="I6" s="374" t="s">
        <v>412</v>
      </c>
      <c r="J6" s="378"/>
      <c r="K6" s="378"/>
      <c r="L6" s="378"/>
      <c r="M6" s="378"/>
      <c r="N6" s="378"/>
      <c r="O6" s="378"/>
      <c r="P6" s="378"/>
      <c r="Q6" s="378"/>
      <c r="R6" s="378"/>
      <c r="S6" s="378"/>
      <c r="T6" s="378"/>
      <c r="U6" s="378"/>
      <c r="V6" s="376" t="s">
        <v>413</v>
      </c>
    </row>
    <row r="7" spans="1:26" ht="26.25" customHeight="1" thickBot="1">
      <c r="I7" s="1131" t="s">
        <v>141</v>
      </c>
      <c r="J7" s="1119" t="s">
        <v>135</v>
      </c>
      <c r="K7" s="1119"/>
      <c r="L7" s="1119"/>
      <c r="M7" s="1119"/>
      <c r="N7" s="1119"/>
      <c r="O7" s="1119"/>
      <c r="P7" s="1119"/>
      <c r="Q7" s="1119"/>
      <c r="R7" s="1119"/>
      <c r="S7" s="1119"/>
      <c r="T7" s="1119"/>
      <c r="U7" s="1119"/>
      <c r="V7" s="1138" t="s">
        <v>1075</v>
      </c>
    </row>
    <row r="8" spans="1:26" ht="44.25" customHeight="1">
      <c r="I8" s="1132"/>
      <c r="J8" s="323">
        <v>-20</v>
      </c>
      <c r="K8" s="323" t="s">
        <v>127</v>
      </c>
      <c r="L8" s="323" t="s">
        <v>126</v>
      </c>
      <c r="M8" s="323" t="s">
        <v>125</v>
      </c>
      <c r="N8" s="323" t="s">
        <v>124</v>
      </c>
      <c r="O8" s="323" t="s">
        <v>123</v>
      </c>
      <c r="P8" s="323" t="s">
        <v>122</v>
      </c>
      <c r="Q8" s="323" t="s">
        <v>121</v>
      </c>
      <c r="R8" s="323" t="s">
        <v>120</v>
      </c>
      <c r="S8" s="323" t="s">
        <v>132</v>
      </c>
      <c r="T8" s="332" t="s">
        <v>646</v>
      </c>
      <c r="U8" s="329" t="s">
        <v>595</v>
      </c>
      <c r="V8" s="1139"/>
    </row>
    <row r="9" spans="1:26" ht="18" customHeight="1" thickBot="1">
      <c r="I9" s="810" t="s">
        <v>426</v>
      </c>
      <c r="J9" s="75">
        <v>0</v>
      </c>
      <c r="K9" s="75">
        <v>0</v>
      </c>
      <c r="L9" s="75">
        <v>0</v>
      </c>
      <c r="M9" s="75">
        <v>0</v>
      </c>
      <c r="N9" s="75">
        <v>0</v>
      </c>
      <c r="O9" s="75">
        <v>0</v>
      </c>
      <c r="P9" s="75">
        <v>0</v>
      </c>
      <c r="Q9" s="75">
        <v>0</v>
      </c>
      <c r="R9" s="75">
        <v>0</v>
      </c>
      <c r="S9" s="75">
        <v>0</v>
      </c>
      <c r="T9" s="75">
        <v>0</v>
      </c>
      <c r="U9" s="6">
        <v>0</v>
      </c>
      <c r="V9" s="95" t="s">
        <v>426</v>
      </c>
    </row>
    <row r="10" spans="1:26" ht="18" customHeight="1" thickBot="1">
      <c r="I10" s="810" t="s">
        <v>127</v>
      </c>
      <c r="J10" s="231">
        <v>3</v>
      </c>
      <c r="K10" s="231">
        <v>15</v>
      </c>
      <c r="L10" s="231">
        <v>2</v>
      </c>
      <c r="M10" s="231">
        <v>0</v>
      </c>
      <c r="N10" s="231">
        <v>0</v>
      </c>
      <c r="O10" s="231">
        <v>0</v>
      </c>
      <c r="P10" s="231">
        <v>0</v>
      </c>
      <c r="Q10" s="231">
        <v>0</v>
      </c>
      <c r="R10" s="231">
        <v>0</v>
      </c>
      <c r="S10" s="231">
        <v>0</v>
      </c>
      <c r="T10" s="231">
        <v>0</v>
      </c>
      <c r="U10" s="6">
        <v>20</v>
      </c>
      <c r="V10" s="95" t="s">
        <v>127</v>
      </c>
    </row>
    <row r="11" spans="1:26" ht="18" customHeight="1" thickBot="1">
      <c r="I11" s="810" t="s">
        <v>126</v>
      </c>
      <c r="J11" s="231">
        <v>0</v>
      </c>
      <c r="K11" s="231">
        <v>19</v>
      </c>
      <c r="L11" s="231">
        <v>20</v>
      </c>
      <c r="M11" s="231">
        <v>0</v>
      </c>
      <c r="N11" s="231">
        <v>0</v>
      </c>
      <c r="O11" s="231">
        <v>0</v>
      </c>
      <c r="P11" s="231">
        <v>0</v>
      </c>
      <c r="Q11" s="231">
        <v>0</v>
      </c>
      <c r="R11" s="231">
        <v>0</v>
      </c>
      <c r="S11" s="231">
        <v>0</v>
      </c>
      <c r="T11" s="231">
        <v>1</v>
      </c>
      <c r="U11" s="6">
        <v>40</v>
      </c>
      <c r="V11" s="95" t="s">
        <v>126</v>
      </c>
    </row>
    <row r="12" spans="1:26" ht="18" customHeight="1" thickBot="1">
      <c r="I12" s="810" t="s">
        <v>125</v>
      </c>
      <c r="J12" s="231">
        <v>0</v>
      </c>
      <c r="K12" s="231">
        <v>7</v>
      </c>
      <c r="L12" s="231">
        <v>16</v>
      </c>
      <c r="M12" s="231">
        <v>7</v>
      </c>
      <c r="N12" s="231">
        <v>3</v>
      </c>
      <c r="O12" s="231">
        <v>0</v>
      </c>
      <c r="P12" s="231">
        <v>0</v>
      </c>
      <c r="Q12" s="231">
        <v>0</v>
      </c>
      <c r="R12" s="231">
        <v>0</v>
      </c>
      <c r="S12" s="231">
        <v>0</v>
      </c>
      <c r="T12" s="231">
        <v>2</v>
      </c>
      <c r="U12" s="6">
        <v>35</v>
      </c>
      <c r="V12" s="95" t="s">
        <v>125</v>
      </c>
    </row>
    <row r="13" spans="1:26" ht="18" customHeight="1" thickBot="1">
      <c r="I13" s="810" t="s">
        <v>124</v>
      </c>
      <c r="J13" s="231">
        <v>0</v>
      </c>
      <c r="K13" s="231">
        <v>1</v>
      </c>
      <c r="L13" s="231">
        <v>4</v>
      </c>
      <c r="M13" s="231">
        <v>4</v>
      </c>
      <c r="N13" s="231">
        <v>5</v>
      </c>
      <c r="O13" s="231">
        <v>0</v>
      </c>
      <c r="P13" s="231">
        <v>0</v>
      </c>
      <c r="Q13" s="231">
        <v>0</v>
      </c>
      <c r="R13" s="231">
        <v>0</v>
      </c>
      <c r="S13" s="231">
        <v>0</v>
      </c>
      <c r="T13" s="231">
        <v>0</v>
      </c>
      <c r="U13" s="6">
        <v>14</v>
      </c>
      <c r="V13" s="95" t="s">
        <v>124</v>
      </c>
    </row>
    <row r="14" spans="1:26" ht="18" customHeight="1" thickBot="1">
      <c r="I14" s="810" t="s">
        <v>123</v>
      </c>
      <c r="J14" s="231">
        <v>0</v>
      </c>
      <c r="K14" s="231">
        <v>0</v>
      </c>
      <c r="L14" s="231">
        <v>0</v>
      </c>
      <c r="M14" s="231">
        <v>0</v>
      </c>
      <c r="N14" s="231">
        <v>1</v>
      </c>
      <c r="O14" s="231">
        <v>2</v>
      </c>
      <c r="P14" s="231">
        <v>1</v>
      </c>
      <c r="Q14" s="231">
        <v>0</v>
      </c>
      <c r="R14" s="231">
        <v>0</v>
      </c>
      <c r="S14" s="231">
        <v>0</v>
      </c>
      <c r="T14" s="231">
        <v>0</v>
      </c>
      <c r="U14" s="6">
        <v>4</v>
      </c>
      <c r="V14" s="95" t="s">
        <v>123</v>
      </c>
    </row>
    <row r="15" spans="1:26" ht="18" customHeight="1" thickBot="1">
      <c r="I15" s="810" t="s">
        <v>122</v>
      </c>
      <c r="J15" s="231">
        <v>0</v>
      </c>
      <c r="K15" s="231">
        <v>0</v>
      </c>
      <c r="L15" s="231">
        <v>0</v>
      </c>
      <c r="M15" s="231">
        <v>0</v>
      </c>
      <c r="N15" s="231">
        <v>3</v>
      </c>
      <c r="O15" s="231">
        <v>1</v>
      </c>
      <c r="P15" s="231">
        <v>0</v>
      </c>
      <c r="Q15" s="231">
        <v>0</v>
      </c>
      <c r="R15" s="231">
        <v>0</v>
      </c>
      <c r="S15" s="231">
        <v>0</v>
      </c>
      <c r="T15" s="231">
        <v>0</v>
      </c>
      <c r="U15" s="6">
        <v>4</v>
      </c>
      <c r="V15" s="95" t="s">
        <v>122</v>
      </c>
    </row>
    <row r="16" spans="1:26" ht="18" customHeight="1" thickBot="1">
      <c r="I16" s="810" t="s">
        <v>121</v>
      </c>
      <c r="J16" s="231">
        <v>0</v>
      </c>
      <c r="K16" s="231">
        <v>0</v>
      </c>
      <c r="L16" s="231">
        <v>0</v>
      </c>
      <c r="M16" s="231">
        <v>0</v>
      </c>
      <c r="N16" s="231">
        <v>0</v>
      </c>
      <c r="O16" s="231">
        <v>0</v>
      </c>
      <c r="P16" s="231">
        <v>1</v>
      </c>
      <c r="Q16" s="231">
        <v>1</v>
      </c>
      <c r="R16" s="231">
        <v>0</v>
      </c>
      <c r="S16" s="231">
        <v>1</v>
      </c>
      <c r="T16" s="231">
        <v>0</v>
      </c>
      <c r="U16" s="6">
        <v>3</v>
      </c>
      <c r="V16" s="95" t="s">
        <v>121</v>
      </c>
    </row>
    <row r="17" spans="9:22" ht="18" customHeight="1" thickBot="1">
      <c r="I17" s="810" t="s">
        <v>120</v>
      </c>
      <c r="J17" s="231">
        <v>0</v>
      </c>
      <c r="K17" s="231">
        <v>0</v>
      </c>
      <c r="L17" s="231">
        <v>0</v>
      </c>
      <c r="M17" s="231">
        <v>0</v>
      </c>
      <c r="N17" s="231">
        <v>1</v>
      </c>
      <c r="O17" s="231">
        <v>1</v>
      </c>
      <c r="P17" s="231">
        <v>2</v>
      </c>
      <c r="Q17" s="231">
        <v>0</v>
      </c>
      <c r="R17" s="231">
        <v>0</v>
      </c>
      <c r="S17" s="231">
        <v>0</v>
      </c>
      <c r="T17" s="231">
        <v>0</v>
      </c>
      <c r="U17" s="6">
        <v>4</v>
      </c>
      <c r="V17" s="95" t="s">
        <v>120</v>
      </c>
    </row>
    <row r="18" spans="9:22" ht="18" customHeight="1" thickBot="1">
      <c r="I18" s="810" t="s">
        <v>119</v>
      </c>
      <c r="J18" s="231">
        <v>0</v>
      </c>
      <c r="K18" s="231">
        <v>0</v>
      </c>
      <c r="L18" s="231">
        <v>0</v>
      </c>
      <c r="M18" s="231">
        <v>0</v>
      </c>
      <c r="N18" s="231">
        <v>0</v>
      </c>
      <c r="O18" s="231">
        <v>0</v>
      </c>
      <c r="P18" s="231">
        <v>1</v>
      </c>
      <c r="Q18" s="231">
        <v>0</v>
      </c>
      <c r="R18" s="231">
        <v>0</v>
      </c>
      <c r="S18" s="231">
        <v>1</v>
      </c>
      <c r="T18" s="231">
        <v>0</v>
      </c>
      <c r="U18" s="6">
        <v>2</v>
      </c>
      <c r="V18" s="95" t="s">
        <v>119</v>
      </c>
    </row>
    <row r="19" spans="9:22" ht="18" customHeight="1" thickBot="1">
      <c r="I19" s="810" t="s">
        <v>118</v>
      </c>
      <c r="J19" s="231">
        <v>0</v>
      </c>
      <c r="K19" s="231">
        <v>0</v>
      </c>
      <c r="L19" s="231">
        <v>0</v>
      </c>
      <c r="M19" s="231">
        <v>0</v>
      </c>
      <c r="N19" s="231">
        <v>0</v>
      </c>
      <c r="O19" s="231">
        <v>0</v>
      </c>
      <c r="P19" s="231">
        <v>0</v>
      </c>
      <c r="Q19" s="231">
        <v>0</v>
      </c>
      <c r="R19" s="231">
        <v>2</v>
      </c>
      <c r="S19" s="231">
        <v>1</v>
      </c>
      <c r="T19" s="231">
        <v>0</v>
      </c>
      <c r="U19" s="6">
        <v>3</v>
      </c>
      <c r="V19" s="95" t="s">
        <v>118</v>
      </c>
    </row>
    <row r="20" spans="9:22" ht="18" customHeight="1" thickBot="1">
      <c r="I20" s="810" t="s">
        <v>117</v>
      </c>
      <c r="J20" s="231">
        <v>0</v>
      </c>
      <c r="K20" s="231">
        <v>0</v>
      </c>
      <c r="L20" s="231">
        <v>0</v>
      </c>
      <c r="M20" s="231">
        <v>0</v>
      </c>
      <c r="N20" s="231">
        <v>0</v>
      </c>
      <c r="O20" s="231">
        <v>0</v>
      </c>
      <c r="P20" s="231">
        <v>0</v>
      </c>
      <c r="Q20" s="231">
        <v>0</v>
      </c>
      <c r="R20" s="231">
        <v>0</v>
      </c>
      <c r="S20" s="231">
        <v>2</v>
      </c>
      <c r="T20" s="231">
        <v>0</v>
      </c>
      <c r="U20" s="6">
        <v>2</v>
      </c>
      <c r="V20" s="95" t="s">
        <v>117</v>
      </c>
    </row>
    <row r="21" spans="9:22" ht="18" customHeight="1" thickBot="1">
      <c r="I21" s="810" t="s">
        <v>116</v>
      </c>
      <c r="J21" s="231">
        <v>0</v>
      </c>
      <c r="K21" s="231">
        <v>0</v>
      </c>
      <c r="L21" s="231">
        <v>0</v>
      </c>
      <c r="M21" s="231">
        <v>0</v>
      </c>
      <c r="N21" s="231">
        <v>0</v>
      </c>
      <c r="O21" s="231">
        <v>0</v>
      </c>
      <c r="P21" s="231">
        <v>0</v>
      </c>
      <c r="Q21" s="231">
        <v>1</v>
      </c>
      <c r="R21" s="231">
        <v>0</v>
      </c>
      <c r="S21" s="231">
        <v>0</v>
      </c>
      <c r="T21" s="231">
        <v>0</v>
      </c>
      <c r="U21" s="6">
        <v>1</v>
      </c>
      <c r="V21" s="95" t="s">
        <v>116</v>
      </c>
    </row>
    <row r="22" spans="9:22" ht="18" customHeight="1" thickBot="1">
      <c r="I22" s="848" t="s">
        <v>14</v>
      </c>
      <c r="J22" s="232">
        <v>0</v>
      </c>
      <c r="K22" s="232">
        <v>0</v>
      </c>
      <c r="L22" s="232">
        <v>0</v>
      </c>
      <c r="M22" s="232">
        <v>0</v>
      </c>
      <c r="N22" s="232">
        <v>0</v>
      </c>
      <c r="O22" s="232">
        <v>0</v>
      </c>
      <c r="P22" s="232">
        <v>0</v>
      </c>
      <c r="Q22" s="232">
        <v>0</v>
      </c>
      <c r="R22" s="232">
        <v>0</v>
      </c>
      <c r="S22" s="232">
        <v>0</v>
      </c>
      <c r="T22" s="232">
        <v>0</v>
      </c>
      <c r="U22" s="6">
        <v>0</v>
      </c>
      <c r="V22" s="850" t="s">
        <v>15</v>
      </c>
    </row>
    <row r="23" spans="9:22" ht="18" customHeight="1">
      <c r="I23" s="90" t="s">
        <v>16</v>
      </c>
      <c r="J23" s="111">
        <f>SUM(J9:J22)</f>
        <v>3</v>
      </c>
      <c r="K23" s="111">
        <f t="shared" ref="K23:T23" si="0">SUM(K9:K22)</f>
        <v>42</v>
      </c>
      <c r="L23" s="111">
        <f t="shared" si="0"/>
        <v>42</v>
      </c>
      <c r="M23" s="111">
        <f t="shared" si="0"/>
        <v>11</v>
      </c>
      <c r="N23" s="111">
        <f t="shared" si="0"/>
        <v>13</v>
      </c>
      <c r="O23" s="111">
        <f t="shared" si="0"/>
        <v>4</v>
      </c>
      <c r="P23" s="111">
        <f t="shared" si="0"/>
        <v>5</v>
      </c>
      <c r="Q23" s="111">
        <f t="shared" si="0"/>
        <v>2</v>
      </c>
      <c r="R23" s="111">
        <f t="shared" si="0"/>
        <v>2</v>
      </c>
      <c r="S23" s="111">
        <f t="shared" si="0"/>
        <v>5</v>
      </c>
      <c r="T23" s="111">
        <f t="shared" si="0"/>
        <v>3</v>
      </c>
      <c r="U23" s="111">
        <f>SUM(U9:U22)</f>
        <v>132</v>
      </c>
      <c r="V23" s="91" t="s">
        <v>55</v>
      </c>
    </row>
    <row r="28" spans="9:22" ht="102.75" thickBot="1">
      <c r="J28" s="12" t="s">
        <v>361</v>
      </c>
      <c r="K28" s="81" t="s">
        <v>360</v>
      </c>
    </row>
    <row r="29" spans="9:22" ht="15.75" thickBot="1">
      <c r="I29" s="80">
        <v>-20</v>
      </c>
      <c r="J29" s="1">
        <f>J23</f>
        <v>3</v>
      </c>
      <c r="K29" s="1">
        <f>U9</f>
        <v>0</v>
      </c>
    </row>
    <row r="30" spans="9:22" ht="15.75" thickBot="1">
      <c r="I30" s="80" t="s">
        <v>5</v>
      </c>
      <c r="J30" s="1">
        <f>K23</f>
        <v>42</v>
      </c>
      <c r="K30" s="1">
        <f t="shared" ref="K30:K37" si="1">U10</f>
        <v>20</v>
      </c>
    </row>
    <row r="31" spans="9:22" ht="15.75" thickBot="1">
      <c r="I31" s="80" t="s">
        <v>6</v>
      </c>
      <c r="J31" s="1">
        <f>L23</f>
        <v>42</v>
      </c>
      <c r="K31" s="1">
        <f t="shared" si="1"/>
        <v>40</v>
      </c>
    </row>
    <row r="32" spans="9:22" ht="15.75" thickBot="1">
      <c r="I32" s="80" t="s">
        <v>7</v>
      </c>
      <c r="J32" s="1">
        <f>M23</f>
        <v>11</v>
      </c>
      <c r="K32" s="1">
        <f t="shared" si="1"/>
        <v>35</v>
      </c>
    </row>
    <row r="33" spans="9:11" ht="15.75" thickBot="1">
      <c r="I33" s="80" t="s">
        <v>8</v>
      </c>
      <c r="J33" s="1">
        <f>N23</f>
        <v>13</v>
      </c>
      <c r="K33" s="1">
        <f t="shared" si="1"/>
        <v>14</v>
      </c>
    </row>
    <row r="34" spans="9:11" ht="15.75" thickBot="1">
      <c r="I34" s="80" t="s">
        <v>9</v>
      </c>
      <c r="J34" s="1">
        <f>O23</f>
        <v>4</v>
      </c>
      <c r="K34" s="1">
        <f t="shared" si="1"/>
        <v>4</v>
      </c>
    </row>
    <row r="35" spans="9:11" ht="15.75" thickBot="1">
      <c r="I35" s="80" t="s">
        <v>10</v>
      </c>
      <c r="J35" s="1">
        <f>P23</f>
        <v>5</v>
      </c>
      <c r="K35" s="1">
        <f t="shared" si="1"/>
        <v>4</v>
      </c>
    </row>
    <row r="36" spans="9:11" ht="15.75" thickBot="1">
      <c r="I36" s="80" t="s">
        <v>11</v>
      </c>
      <c r="J36" s="1">
        <f>Q23</f>
        <v>2</v>
      </c>
      <c r="K36" s="1">
        <f t="shared" si="1"/>
        <v>3</v>
      </c>
    </row>
    <row r="37" spans="9:11" ht="15.75" thickBot="1">
      <c r="I37" s="80" t="s">
        <v>12</v>
      </c>
      <c r="J37" s="1">
        <f>R23</f>
        <v>2</v>
      </c>
      <c r="K37" s="1">
        <f t="shared" si="1"/>
        <v>4</v>
      </c>
    </row>
    <row r="38" spans="9:11" ht="15.75" thickBot="1">
      <c r="I38" s="80" t="s">
        <v>13</v>
      </c>
      <c r="J38" s="1">
        <f>S23</f>
        <v>5</v>
      </c>
      <c r="K38" s="1">
        <f>U18+U19+U20+U21</f>
        <v>8</v>
      </c>
    </row>
    <row r="39" spans="9:11">
      <c r="J39" s="1">
        <f>SUM(J29:J38)</f>
        <v>129</v>
      </c>
      <c r="K39" s="1">
        <f>SUM(K29:K38)</f>
        <v>132</v>
      </c>
    </row>
  </sheetData>
  <mergeCells count="7">
    <mergeCell ref="I7:I8"/>
    <mergeCell ref="J7:U7"/>
    <mergeCell ref="V7:V8"/>
    <mergeCell ref="I1:V1"/>
    <mergeCell ref="I2:V2"/>
    <mergeCell ref="I3:V3"/>
    <mergeCell ref="I4:V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37:N37"/>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7" spans="1:14" ht="15.75">
      <c r="A37" s="1070" t="s">
        <v>365</v>
      </c>
      <c r="B37" s="1070"/>
      <c r="C37" s="1070"/>
      <c r="D37" s="1070"/>
      <c r="E37" s="1070"/>
      <c r="F37" s="1070"/>
      <c r="G37" s="1070"/>
      <c r="H37" s="1070"/>
      <c r="I37" s="1070"/>
      <c r="J37" s="1070"/>
      <c r="K37" s="1070"/>
      <c r="L37" s="1070"/>
      <c r="M37" s="1070"/>
      <c r="N37" s="1070"/>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V38"/>
  <sheetViews>
    <sheetView rightToLeft="1" view="pageBreakPreview" topLeftCell="A4" zoomScaleNormal="100" zoomScaleSheetLayoutView="100" workbookViewId="0">
      <selection activeCell="M23" sqref="M23"/>
    </sheetView>
  </sheetViews>
  <sheetFormatPr defaultColWidth="9.140625" defaultRowHeight="12.75"/>
  <cols>
    <col min="1" max="1" width="22.85546875" style="1" customWidth="1"/>
    <col min="2" max="2" width="7" style="1" customWidth="1"/>
    <col min="3" max="3" width="7.85546875" style="1" customWidth="1"/>
    <col min="4" max="4" width="8.140625" style="1" customWidth="1"/>
    <col min="5" max="5" width="7.85546875" style="1" customWidth="1"/>
    <col min="6" max="6" width="8.7109375" style="1" customWidth="1"/>
    <col min="7" max="7" width="7.85546875" style="1" customWidth="1"/>
    <col min="8" max="10" width="8" style="1" customWidth="1"/>
    <col min="11" max="11" width="6.28515625" style="1" customWidth="1"/>
    <col min="12" max="12" width="10.140625" style="1" customWidth="1"/>
    <col min="13" max="13" width="8.7109375" style="1" customWidth="1"/>
    <col min="14" max="14" width="21.28515625" style="1" customWidth="1"/>
    <col min="15" max="16384" width="9.140625" style="1"/>
  </cols>
  <sheetData>
    <row r="1" spans="1:22" s="2" customFormat="1" ht="21.75" customHeight="1">
      <c r="A1" s="1224" t="s">
        <v>364</v>
      </c>
      <c r="B1" s="1224"/>
      <c r="C1" s="1224"/>
      <c r="D1" s="1224"/>
      <c r="E1" s="1224"/>
      <c r="F1" s="1224"/>
      <c r="G1" s="1224"/>
      <c r="H1" s="1224"/>
      <c r="I1" s="1041"/>
      <c r="J1" s="1041"/>
      <c r="K1" s="1041"/>
      <c r="L1" s="1041"/>
      <c r="M1" s="1041"/>
      <c r="N1" s="1041"/>
      <c r="O1" s="383"/>
      <c r="P1" s="383"/>
      <c r="Q1" s="383"/>
      <c r="R1" s="383"/>
      <c r="S1" s="383"/>
      <c r="T1" s="383"/>
      <c r="U1" s="383"/>
      <c r="V1" s="383"/>
    </row>
    <row r="2" spans="1:22" s="2" customFormat="1" ht="15.75" customHeight="1">
      <c r="A2" s="1225" t="s">
        <v>363</v>
      </c>
      <c r="B2" s="1225"/>
      <c r="C2" s="1225"/>
      <c r="D2" s="1225"/>
      <c r="E2" s="1225"/>
      <c r="F2" s="1225"/>
      <c r="G2" s="1225"/>
      <c r="H2" s="1225"/>
      <c r="I2" s="1068"/>
      <c r="J2" s="1068"/>
      <c r="K2" s="1068"/>
      <c r="L2" s="1068"/>
      <c r="M2" s="1068"/>
      <c r="N2" s="1068"/>
      <c r="O2" s="383"/>
      <c r="P2" s="383"/>
      <c r="Q2" s="383"/>
      <c r="R2" s="383"/>
      <c r="S2" s="383"/>
      <c r="T2" s="383"/>
      <c r="U2" s="383"/>
      <c r="V2" s="383"/>
    </row>
    <row r="3" spans="1:22" s="2" customFormat="1" ht="18" customHeight="1">
      <c r="A3" s="1226">
        <v>2021</v>
      </c>
      <c r="B3" s="1226"/>
      <c r="C3" s="1226"/>
      <c r="D3" s="1226"/>
      <c r="E3" s="1226"/>
      <c r="F3" s="1226"/>
      <c r="G3" s="1226"/>
      <c r="H3" s="1226"/>
      <c r="I3" s="1069"/>
      <c r="J3" s="1069"/>
      <c r="K3" s="1069"/>
      <c r="L3" s="1069"/>
      <c r="M3" s="1069"/>
      <c r="N3" s="1069"/>
      <c r="O3" s="384"/>
      <c r="P3" s="384"/>
      <c r="Q3" s="384"/>
      <c r="R3" s="384"/>
      <c r="S3" s="383"/>
      <c r="T3" s="383"/>
      <c r="U3" s="383"/>
      <c r="V3" s="383"/>
    </row>
    <row r="4" spans="1:22" s="2" customFormat="1" ht="15.75">
      <c r="A4" s="1226" t="s">
        <v>366</v>
      </c>
      <c r="B4" s="1226"/>
      <c r="C4" s="1226"/>
      <c r="D4" s="1226"/>
      <c r="E4" s="1226"/>
      <c r="F4" s="1226"/>
      <c r="G4" s="1226"/>
      <c r="H4" s="1226"/>
      <c r="I4" s="1069"/>
      <c r="J4" s="1069"/>
      <c r="K4" s="1069"/>
      <c r="L4" s="1069"/>
      <c r="M4" s="1069"/>
      <c r="N4" s="1069"/>
      <c r="O4" s="383"/>
      <c r="P4" s="383"/>
      <c r="Q4" s="383"/>
      <c r="R4" s="383"/>
      <c r="S4" s="383"/>
      <c r="T4" s="383"/>
      <c r="U4" s="383"/>
      <c r="V4" s="383"/>
    </row>
    <row r="5" spans="1:22" s="2" customFormat="1" ht="15.75">
      <c r="A5" s="356"/>
      <c r="B5" s="356"/>
      <c r="C5" s="356"/>
      <c r="D5" s="356"/>
      <c r="E5" s="356"/>
      <c r="F5" s="356"/>
      <c r="G5" s="356"/>
      <c r="H5" s="356"/>
      <c r="I5" s="362"/>
      <c r="J5" s="362"/>
      <c r="K5" s="362"/>
      <c r="L5" s="362"/>
      <c r="M5" s="362"/>
      <c r="N5" s="362"/>
      <c r="O5" s="383"/>
      <c r="P5" s="383"/>
      <c r="Q5" s="383"/>
      <c r="R5" s="383"/>
      <c r="S5" s="383"/>
      <c r="T5" s="383"/>
      <c r="U5" s="383"/>
      <c r="V5" s="383"/>
    </row>
    <row r="6" spans="1:22" ht="15.75">
      <c r="A6" s="4" t="s">
        <v>416</v>
      </c>
      <c r="B6" s="5"/>
      <c r="C6" s="5"/>
      <c r="D6" s="5"/>
      <c r="E6" s="5"/>
      <c r="F6" s="5"/>
      <c r="G6" s="5"/>
      <c r="H6" s="5"/>
      <c r="I6" s="378"/>
      <c r="J6" s="378"/>
      <c r="K6" s="378"/>
      <c r="L6" s="378"/>
      <c r="M6" s="378"/>
      <c r="N6" s="376" t="s">
        <v>417</v>
      </c>
      <c r="O6" s="88"/>
      <c r="P6" s="88"/>
      <c r="Q6" s="88"/>
      <c r="R6" s="88"/>
      <c r="S6" s="88"/>
      <c r="T6" s="88"/>
      <c r="U6" s="88"/>
      <c r="V6" s="88"/>
    </row>
    <row r="7" spans="1:22" ht="26.25" customHeight="1">
      <c r="A7" s="1219" t="s">
        <v>141</v>
      </c>
      <c r="B7" s="1101" t="s">
        <v>135</v>
      </c>
      <c r="C7" s="1221"/>
      <c r="D7" s="1221"/>
      <c r="E7" s="1221"/>
      <c r="F7" s="1221"/>
      <c r="G7" s="1221"/>
      <c r="H7" s="1221"/>
      <c r="I7" s="1221"/>
      <c r="J7" s="1221"/>
      <c r="K7" s="1221"/>
      <c r="L7" s="1221"/>
      <c r="M7" s="1102"/>
      <c r="N7" s="1222" t="s">
        <v>1075</v>
      </c>
    </row>
    <row r="8" spans="1:22" ht="44.25" customHeight="1">
      <c r="A8" s="1220"/>
      <c r="B8" s="778">
        <v>-20</v>
      </c>
      <c r="C8" s="778" t="s">
        <v>127</v>
      </c>
      <c r="D8" s="778" t="s">
        <v>126</v>
      </c>
      <c r="E8" s="778" t="s">
        <v>125</v>
      </c>
      <c r="F8" s="778" t="s">
        <v>124</v>
      </c>
      <c r="G8" s="778" t="s">
        <v>123</v>
      </c>
      <c r="H8" s="778" t="s">
        <v>122</v>
      </c>
      <c r="I8" s="778" t="s">
        <v>121</v>
      </c>
      <c r="J8" s="778" t="s">
        <v>120</v>
      </c>
      <c r="K8" s="778" t="s">
        <v>132</v>
      </c>
      <c r="L8" s="332" t="s">
        <v>646</v>
      </c>
      <c r="M8" s="329" t="s">
        <v>595</v>
      </c>
      <c r="N8" s="1223"/>
    </row>
    <row r="9" spans="1:22" ht="18" customHeight="1" thickBot="1">
      <c r="A9" s="810" t="s">
        <v>426</v>
      </c>
      <c r="B9" s="75">
        <v>0</v>
      </c>
      <c r="C9" s="75">
        <v>0</v>
      </c>
      <c r="D9" s="75">
        <v>0</v>
      </c>
      <c r="E9" s="75">
        <v>0</v>
      </c>
      <c r="F9" s="75">
        <v>0</v>
      </c>
      <c r="G9" s="75">
        <v>0</v>
      </c>
      <c r="H9" s="75">
        <v>0</v>
      </c>
      <c r="I9" s="75">
        <v>0</v>
      </c>
      <c r="J9" s="75">
        <v>0</v>
      </c>
      <c r="K9" s="75">
        <v>0</v>
      </c>
      <c r="L9" s="75">
        <v>0</v>
      </c>
      <c r="M9" s="6">
        <v>0</v>
      </c>
      <c r="N9" s="95" t="s">
        <v>426</v>
      </c>
    </row>
    <row r="10" spans="1:22" ht="18" customHeight="1" thickBot="1">
      <c r="A10" s="810" t="s">
        <v>127</v>
      </c>
      <c r="B10" s="231">
        <v>5</v>
      </c>
      <c r="C10" s="231">
        <v>17</v>
      </c>
      <c r="D10" s="231">
        <v>4</v>
      </c>
      <c r="E10" s="231">
        <v>0</v>
      </c>
      <c r="F10" s="231">
        <v>0</v>
      </c>
      <c r="G10" s="231">
        <v>0</v>
      </c>
      <c r="H10" s="231">
        <v>0</v>
      </c>
      <c r="I10" s="231">
        <v>0</v>
      </c>
      <c r="J10" s="231">
        <v>0</v>
      </c>
      <c r="K10" s="231">
        <v>0</v>
      </c>
      <c r="L10" s="231">
        <v>0</v>
      </c>
      <c r="M10" s="6">
        <v>26</v>
      </c>
      <c r="N10" s="95" t="s">
        <v>127</v>
      </c>
    </row>
    <row r="11" spans="1:22" ht="18" customHeight="1" thickBot="1">
      <c r="A11" s="810" t="s">
        <v>126</v>
      </c>
      <c r="B11" s="231">
        <v>2</v>
      </c>
      <c r="C11" s="231">
        <v>23</v>
      </c>
      <c r="D11" s="231">
        <v>16</v>
      </c>
      <c r="E11" s="231">
        <v>0</v>
      </c>
      <c r="F11" s="231">
        <v>0</v>
      </c>
      <c r="G11" s="231">
        <v>0</v>
      </c>
      <c r="H11" s="231">
        <v>0</v>
      </c>
      <c r="I11" s="231">
        <v>0</v>
      </c>
      <c r="J11" s="231">
        <v>0</v>
      </c>
      <c r="K11" s="231">
        <v>0</v>
      </c>
      <c r="L11" s="231">
        <v>1</v>
      </c>
      <c r="M11" s="6">
        <v>42</v>
      </c>
      <c r="N11" s="95" t="s">
        <v>126</v>
      </c>
    </row>
    <row r="12" spans="1:22" ht="18" customHeight="1" thickBot="1">
      <c r="A12" s="810" t="s">
        <v>125</v>
      </c>
      <c r="B12" s="231">
        <v>0</v>
      </c>
      <c r="C12" s="231">
        <v>8</v>
      </c>
      <c r="D12" s="231">
        <v>18</v>
      </c>
      <c r="E12" s="231">
        <v>8</v>
      </c>
      <c r="F12" s="231">
        <v>0</v>
      </c>
      <c r="G12" s="231">
        <v>1</v>
      </c>
      <c r="H12" s="231">
        <v>0</v>
      </c>
      <c r="I12" s="231">
        <v>0</v>
      </c>
      <c r="J12" s="231">
        <v>0</v>
      </c>
      <c r="K12" s="231">
        <v>0</v>
      </c>
      <c r="L12" s="231">
        <v>0</v>
      </c>
      <c r="M12" s="6">
        <v>35</v>
      </c>
      <c r="N12" s="95" t="s">
        <v>125</v>
      </c>
    </row>
    <row r="13" spans="1:22" ht="18" customHeight="1" thickBot="1">
      <c r="A13" s="810" t="s">
        <v>124</v>
      </c>
      <c r="B13" s="231">
        <v>0</v>
      </c>
      <c r="C13" s="231">
        <v>1</v>
      </c>
      <c r="D13" s="231">
        <v>4</v>
      </c>
      <c r="E13" s="231">
        <v>5</v>
      </c>
      <c r="F13" s="231">
        <v>5</v>
      </c>
      <c r="G13" s="231">
        <v>2</v>
      </c>
      <c r="H13" s="231">
        <v>0</v>
      </c>
      <c r="I13" s="231">
        <v>0</v>
      </c>
      <c r="J13" s="231">
        <v>0</v>
      </c>
      <c r="K13" s="231">
        <v>0</v>
      </c>
      <c r="L13" s="231">
        <v>0</v>
      </c>
      <c r="M13" s="6">
        <v>17</v>
      </c>
      <c r="N13" s="95" t="s">
        <v>124</v>
      </c>
    </row>
    <row r="14" spans="1:22" ht="18" customHeight="1" thickBot="1">
      <c r="A14" s="810" t="s">
        <v>123</v>
      </c>
      <c r="B14" s="231">
        <v>0</v>
      </c>
      <c r="C14" s="231">
        <v>0</v>
      </c>
      <c r="D14" s="231">
        <v>1</v>
      </c>
      <c r="E14" s="231">
        <v>3</v>
      </c>
      <c r="F14" s="231">
        <v>3</v>
      </c>
      <c r="G14" s="231">
        <v>4</v>
      </c>
      <c r="H14" s="231">
        <v>0</v>
      </c>
      <c r="I14" s="231">
        <v>0</v>
      </c>
      <c r="J14" s="231">
        <v>0</v>
      </c>
      <c r="K14" s="231">
        <v>0</v>
      </c>
      <c r="L14" s="231">
        <v>1</v>
      </c>
      <c r="M14" s="6">
        <v>12</v>
      </c>
      <c r="N14" s="95" t="s">
        <v>123</v>
      </c>
    </row>
    <row r="15" spans="1:22" ht="18" customHeight="1" thickBot="1">
      <c r="A15" s="810" t="s">
        <v>122</v>
      </c>
      <c r="B15" s="231">
        <v>0</v>
      </c>
      <c r="C15" s="231">
        <v>0</v>
      </c>
      <c r="D15" s="231">
        <v>0</v>
      </c>
      <c r="E15" s="231">
        <v>1</v>
      </c>
      <c r="F15" s="231">
        <v>2</v>
      </c>
      <c r="G15" s="231">
        <v>2</v>
      </c>
      <c r="H15" s="231">
        <v>3</v>
      </c>
      <c r="I15" s="231">
        <v>1</v>
      </c>
      <c r="J15" s="231">
        <v>0</v>
      </c>
      <c r="K15" s="231">
        <v>0</v>
      </c>
      <c r="L15" s="231">
        <v>0</v>
      </c>
      <c r="M15" s="6">
        <v>9</v>
      </c>
      <c r="N15" s="95" t="s">
        <v>122</v>
      </c>
    </row>
    <row r="16" spans="1:22" ht="18" customHeight="1" thickBot="1">
      <c r="A16" s="810" t="s">
        <v>121</v>
      </c>
      <c r="B16" s="231">
        <v>0</v>
      </c>
      <c r="C16" s="231">
        <v>0</v>
      </c>
      <c r="D16" s="231">
        <v>0</v>
      </c>
      <c r="E16" s="231">
        <v>0</v>
      </c>
      <c r="F16" s="231">
        <v>1</v>
      </c>
      <c r="G16" s="231">
        <v>2</v>
      </c>
      <c r="H16" s="231">
        <v>2</v>
      </c>
      <c r="I16" s="231">
        <v>2</v>
      </c>
      <c r="J16" s="231">
        <v>0</v>
      </c>
      <c r="K16" s="231">
        <v>0</v>
      </c>
      <c r="L16" s="231">
        <v>0</v>
      </c>
      <c r="M16" s="6">
        <v>7</v>
      </c>
      <c r="N16" s="95" t="s">
        <v>121</v>
      </c>
    </row>
    <row r="17" spans="1:14" ht="18" customHeight="1" thickBot="1">
      <c r="A17" s="810" t="s">
        <v>120</v>
      </c>
      <c r="B17" s="231">
        <v>0</v>
      </c>
      <c r="C17" s="231">
        <v>0</v>
      </c>
      <c r="D17" s="231">
        <v>0</v>
      </c>
      <c r="E17" s="231">
        <v>2</v>
      </c>
      <c r="F17" s="231">
        <v>0</v>
      </c>
      <c r="G17" s="231">
        <v>2</v>
      </c>
      <c r="H17" s="231">
        <v>1</v>
      </c>
      <c r="I17" s="231">
        <v>2</v>
      </c>
      <c r="J17" s="231">
        <v>2</v>
      </c>
      <c r="K17" s="231">
        <v>1</v>
      </c>
      <c r="L17" s="231">
        <v>0</v>
      </c>
      <c r="M17" s="6">
        <v>10</v>
      </c>
      <c r="N17" s="95" t="s">
        <v>120</v>
      </c>
    </row>
    <row r="18" spans="1:14" ht="18" customHeight="1" thickBot="1">
      <c r="A18" s="810" t="s">
        <v>119</v>
      </c>
      <c r="B18" s="231">
        <v>0</v>
      </c>
      <c r="C18" s="231">
        <v>0</v>
      </c>
      <c r="D18" s="231">
        <v>0</v>
      </c>
      <c r="E18" s="231">
        <v>0</v>
      </c>
      <c r="F18" s="231">
        <v>1</v>
      </c>
      <c r="G18" s="231">
        <v>0</v>
      </c>
      <c r="H18" s="231">
        <v>0</v>
      </c>
      <c r="I18" s="231">
        <v>0</v>
      </c>
      <c r="J18" s="231">
        <v>1</v>
      </c>
      <c r="K18" s="231">
        <v>0</v>
      </c>
      <c r="L18" s="231">
        <v>0</v>
      </c>
      <c r="M18" s="6">
        <v>2</v>
      </c>
      <c r="N18" s="95" t="s">
        <v>119</v>
      </c>
    </row>
    <row r="19" spans="1:14" ht="18" customHeight="1" thickBot="1">
      <c r="A19" s="810" t="s">
        <v>118</v>
      </c>
      <c r="B19" s="231">
        <v>0</v>
      </c>
      <c r="C19" s="231">
        <v>0</v>
      </c>
      <c r="D19" s="231">
        <v>0</v>
      </c>
      <c r="E19" s="231">
        <v>0</v>
      </c>
      <c r="F19" s="231">
        <v>0</v>
      </c>
      <c r="G19" s="231">
        <v>0</v>
      </c>
      <c r="H19" s="231">
        <v>0</v>
      </c>
      <c r="I19" s="231">
        <v>0</v>
      </c>
      <c r="J19" s="231">
        <v>2</v>
      </c>
      <c r="K19" s="231">
        <v>0</v>
      </c>
      <c r="L19" s="231">
        <v>0</v>
      </c>
      <c r="M19" s="6">
        <v>2</v>
      </c>
      <c r="N19" s="95" t="s">
        <v>118</v>
      </c>
    </row>
    <row r="20" spans="1:14" ht="18" customHeight="1" thickBot="1">
      <c r="A20" s="810" t="s">
        <v>117</v>
      </c>
      <c r="B20" s="231">
        <v>0</v>
      </c>
      <c r="C20" s="231">
        <v>0</v>
      </c>
      <c r="D20" s="231">
        <v>0</v>
      </c>
      <c r="E20" s="231">
        <v>0</v>
      </c>
      <c r="F20" s="231">
        <v>0</v>
      </c>
      <c r="G20" s="231">
        <v>0</v>
      </c>
      <c r="H20" s="231">
        <v>0</v>
      </c>
      <c r="I20" s="231">
        <v>0</v>
      </c>
      <c r="J20" s="231">
        <v>0</v>
      </c>
      <c r="K20" s="231">
        <v>1</v>
      </c>
      <c r="L20" s="231">
        <v>0</v>
      </c>
      <c r="M20" s="6">
        <v>1</v>
      </c>
      <c r="N20" s="95" t="s">
        <v>117</v>
      </c>
    </row>
    <row r="21" spans="1:14" ht="18" customHeight="1" thickBot="1">
      <c r="A21" s="810" t="s">
        <v>116</v>
      </c>
      <c r="B21" s="231">
        <v>0</v>
      </c>
      <c r="C21" s="231">
        <v>0</v>
      </c>
      <c r="D21" s="231">
        <v>0</v>
      </c>
      <c r="E21" s="231">
        <v>0</v>
      </c>
      <c r="F21" s="231">
        <v>0</v>
      </c>
      <c r="G21" s="231">
        <v>0</v>
      </c>
      <c r="H21" s="231">
        <v>0</v>
      </c>
      <c r="I21" s="231">
        <v>1</v>
      </c>
      <c r="J21" s="231">
        <v>0</v>
      </c>
      <c r="K21" s="231">
        <v>1</v>
      </c>
      <c r="L21" s="231">
        <v>0</v>
      </c>
      <c r="M21" s="6">
        <v>2</v>
      </c>
      <c r="N21" s="95" t="s">
        <v>116</v>
      </c>
    </row>
    <row r="22" spans="1:14" ht="18" customHeight="1" thickBot="1">
      <c r="A22" s="848" t="s">
        <v>14</v>
      </c>
      <c r="B22" s="232">
        <v>0</v>
      </c>
      <c r="C22" s="232">
        <v>0</v>
      </c>
      <c r="D22" s="232">
        <v>0</v>
      </c>
      <c r="E22" s="232">
        <v>0</v>
      </c>
      <c r="F22" s="232">
        <v>0</v>
      </c>
      <c r="G22" s="232">
        <v>0</v>
      </c>
      <c r="H22" s="232">
        <v>0</v>
      </c>
      <c r="I22" s="232">
        <v>0</v>
      </c>
      <c r="J22" s="232">
        <v>0</v>
      </c>
      <c r="K22" s="232">
        <v>0</v>
      </c>
      <c r="L22" s="232">
        <v>0</v>
      </c>
      <c r="M22" s="6">
        <v>0</v>
      </c>
      <c r="N22" s="850" t="s">
        <v>15</v>
      </c>
    </row>
    <row r="23" spans="1:14" ht="18" customHeight="1">
      <c r="A23" s="90" t="s">
        <v>16</v>
      </c>
      <c r="B23" s="111">
        <f>SUM(B9:B22)</f>
        <v>7</v>
      </c>
      <c r="C23" s="111">
        <f>SUM(C9:C22)</f>
        <v>49</v>
      </c>
      <c r="D23" s="111">
        <f t="shared" ref="D23:L23" si="0">SUM(D9:D22)</f>
        <v>43</v>
      </c>
      <c r="E23" s="111">
        <f t="shared" si="0"/>
        <v>19</v>
      </c>
      <c r="F23" s="111">
        <f t="shared" si="0"/>
        <v>12</v>
      </c>
      <c r="G23" s="111">
        <f t="shared" si="0"/>
        <v>13</v>
      </c>
      <c r="H23" s="111">
        <f t="shared" si="0"/>
        <v>6</v>
      </c>
      <c r="I23" s="111">
        <f t="shared" si="0"/>
        <v>6</v>
      </c>
      <c r="J23" s="111">
        <f t="shared" si="0"/>
        <v>5</v>
      </c>
      <c r="K23" s="111">
        <f t="shared" si="0"/>
        <v>3</v>
      </c>
      <c r="L23" s="111">
        <f t="shared" si="0"/>
        <v>2</v>
      </c>
      <c r="M23" s="111">
        <f>SUM(M9:M22)</f>
        <v>165</v>
      </c>
      <c r="N23" s="91" t="s">
        <v>55</v>
      </c>
    </row>
    <row r="26" spans="1:14" ht="53.25" customHeight="1" thickBot="1">
      <c r="B26" s="12" t="s">
        <v>361</v>
      </c>
      <c r="C26" s="12" t="s">
        <v>360</v>
      </c>
    </row>
    <row r="27" spans="1:14" ht="15.75" thickBot="1">
      <c r="A27" s="80">
        <v>-20</v>
      </c>
      <c r="B27" s="1">
        <f>B23</f>
        <v>7</v>
      </c>
      <c r="C27" s="1">
        <f t="shared" ref="C27:C35" si="1">M9</f>
        <v>0</v>
      </c>
    </row>
    <row r="28" spans="1:14" ht="15.75" thickBot="1">
      <c r="A28" s="80" t="s">
        <v>5</v>
      </c>
      <c r="B28" s="81">
        <f>C23</f>
        <v>49</v>
      </c>
      <c r="C28" s="12">
        <f t="shared" si="1"/>
        <v>26</v>
      </c>
    </row>
    <row r="29" spans="1:14" ht="15.75" thickBot="1">
      <c r="A29" s="80" t="s">
        <v>6</v>
      </c>
      <c r="B29" s="1">
        <f>D23</f>
        <v>43</v>
      </c>
      <c r="C29" s="1">
        <f t="shared" si="1"/>
        <v>42</v>
      </c>
    </row>
    <row r="30" spans="1:14" ht="15.75" thickBot="1">
      <c r="A30" s="80" t="s">
        <v>7</v>
      </c>
      <c r="B30" s="1">
        <f>E23</f>
        <v>19</v>
      </c>
      <c r="C30" s="1">
        <f t="shared" si="1"/>
        <v>35</v>
      </c>
    </row>
    <row r="31" spans="1:14" ht="15.75" thickBot="1">
      <c r="A31" s="80" t="s">
        <v>8</v>
      </c>
      <c r="B31" s="1">
        <f>F23</f>
        <v>12</v>
      </c>
      <c r="C31" s="1">
        <f t="shared" si="1"/>
        <v>17</v>
      </c>
    </row>
    <row r="32" spans="1:14" ht="15.75" thickBot="1">
      <c r="A32" s="80" t="s">
        <v>9</v>
      </c>
      <c r="B32" s="1">
        <f>G23</f>
        <v>13</v>
      </c>
      <c r="C32" s="1">
        <f t="shared" si="1"/>
        <v>12</v>
      </c>
    </row>
    <row r="33" spans="1:4" ht="15.75" thickBot="1">
      <c r="A33" s="80" t="s">
        <v>10</v>
      </c>
      <c r="B33" s="1">
        <f>H23</f>
        <v>6</v>
      </c>
      <c r="C33" s="1">
        <f t="shared" si="1"/>
        <v>9</v>
      </c>
    </row>
    <row r="34" spans="1:4" ht="15.75" thickBot="1">
      <c r="A34" s="80" t="s">
        <v>11</v>
      </c>
      <c r="B34" s="1">
        <f>I23</f>
        <v>6</v>
      </c>
      <c r="C34" s="1">
        <f t="shared" si="1"/>
        <v>7</v>
      </c>
    </row>
    <row r="35" spans="1:4" ht="15.75" thickBot="1">
      <c r="A35" s="80" t="s">
        <v>12</v>
      </c>
      <c r="B35" s="1">
        <f>J23</f>
        <v>5</v>
      </c>
      <c r="C35" s="1">
        <f t="shared" si="1"/>
        <v>10</v>
      </c>
    </row>
    <row r="36" spans="1:4" ht="15.75" thickBot="1">
      <c r="A36" s="80" t="s">
        <v>13</v>
      </c>
      <c r="B36" s="1">
        <f>K23</f>
        <v>3</v>
      </c>
      <c r="C36" s="1">
        <f>SUM(M18:M21)</f>
        <v>7</v>
      </c>
    </row>
    <row r="37" spans="1:4" ht="15.75" thickBot="1">
      <c r="A37" s="80"/>
      <c r="B37" s="1">
        <f>SUM(B27:B36)</f>
        <v>163</v>
      </c>
      <c r="C37" s="1">
        <f>SUM(C27:C36)</f>
        <v>165</v>
      </c>
    </row>
    <row r="38" spans="1:4" ht="15.75" thickBot="1">
      <c r="D38" s="80"/>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6" orientation="landscape" r:id="rId1"/>
  <headerFooter alignWithMargins="0"/>
  <drawing r:id="rId2"/>
  <tableParts count="1">
    <tablePart r:id="rId3"/>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37:N37"/>
  <sheetViews>
    <sheetView rightToLeft="1" view="pageBreakPreview" topLeftCell="A10" zoomScaleNormal="100" zoomScaleSheetLayoutView="100" workbookViewId="0">
      <selection activeCell="F22" sqref="F22"/>
    </sheetView>
  </sheetViews>
  <sheetFormatPr defaultColWidth="9.140625" defaultRowHeight="12.75"/>
  <cols>
    <col min="1" max="16384" width="9.140625" style="1"/>
  </cols>
  <sheetData>
    <row r="37" spans="1:14" ht="15.75">
      <c r="A37" s="1070" t="s">
        <v>367</v>
      </c>
      <c r="B37" s="1070"/>
      <c r="C37" s="1070"/>
      <c r="D37" s="1070"/>
      <c r="E37" s="1070"/>
      <c r="F37" s="1070"/>
      <c r="G37" s="1070"/>
      <c r="H37" s="1070"/>
      <c r="I37" s="1070"/>
      <c r="J37" s="1070"/>
      <c r="K37" s="1070"/>
      <c r="L37" s="1070"/>
      <c r="M37" s="1070"/>
      <c r="N37" s="1070"/>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V38"/>
  <sheetViews>
    <sheetView rightToLeft="1" view="pageBreakPreview" topLeftCell="A11" zoomScaleNormal="100" zoomScaleSheetLayoutView="100" workbookViewId="0">
      <selection activeCell="C27" sqref="C27"/>
    </sheetView>
  </sheetViews>
  <sheetFormatPr defaultColWidth="9.140625" defaultRowHeight="12.75"/>
  <cols>
    <col min="1" max="1" width="22.85546875" style="1" customWidth="1"/>
    <col min="2" max="2" width="7" style="1" customWidth="1"/>
    <col min="3" max="3" width="7.85546875" style="1" customWidth="1"/>
    <col min="4" max="4" width="8.140625" style="1" customWidth="1"/>
    <col min="5" max="5" width="7.85546875" style="1" customWidth="1"/>
    <col min="6" max="6" width="8.7109375" style="1" customWidth="1"/>
    <col min="7" max="7" width="7.85546875" style="1" customWidth="1"/>
    <col min="8" max="10" width="8" style="1" customWidth="1"/>
    <col min="11" max="11" width="6.28515625" style="1" customWidth="1"/>
    <col min="12" max="12" width="10.140625" style="1" customWidth="1"/>
    <col min="13" max="13" width="8.7109375" style="1" customWidth="1"/>
    <col min="14" max="14" width="21.28515625" style="1" customWidth="1"/>
    <col min="15" max="16384" width="9.140625" style="1"/>
  </cols>
  <sheetData>
    <row r="1" spans="1:22" s="2" customFormat="1" ht="21.75" customHeight="1">
      <c r="A1" s="1224" t="s">
        <v>364</v>
      </c>
      <c r="B1" s="1224"/>
      <c r="C1" s="1224"/>
      <c r="D1" s="1224"/>
      <c r="E1" s="1224"/>
      <c r="F1" s="1224"/>
      <c r="G1" s="1224"/>
      <c r="H1" s="1224"/>
      <c r="I1" s="1041"/>
      <c r="J1" s="1041"/>
      <c r="K1" s="1041"/>
      <c r="L1" s="1041"/>
      <c r="M1" s="1041"/>
      <c r="N1" s="1041"/>
      <c r="O1" s="383"/>
      <c r="P1" s="383"/>
      <c r="Q1" s="383"/>
      <c r="R1" s="383"/>
      <c r="S1" s="383"/>
      <c r="T1" s="383"/>
      <c r="U1" s="383"/>
      <c r="V1" s="383"/>
    </row>
    <row r="2" spans="1:22" s="2" customFormat="1" ht="15.75" customHeight="1">
      <c r="A2" s="1225" t="s">
        <v>363</v>
      </c>
      <c r="B2" s="1225"/>
      <c r="C2" s="1225"/>
      <c r="D2" s="1225"/>
      <c r="E2" s="1225"/>
      <c r="F2" s="1225"/>
      <c r="G2" s="1225"/>
      <c r="H2" s="1225"/>
      <c r="I2" s="1068"/>
      <c r="J2" s="1068"/>
      <c r="K2" s="1068"/>
      <c r="L2" s="1068"/>
      <c r="M2" s="1068"/>
      <c r="N2" s="1068"/>
      <c r="O2" s="383"/>
      <c r="P2" s="383"/>
      <c r="Q2" s="383"/>
      <c r="R2" s="383"/>
      <c r="S2" s="383"/>
      <c r="T2" s="383"/>
      <c r="U2" s="383"/>
      <c r="V2" s="383"/>
    </row>
    <row r="3" spans="1:22" s="2" customFormat="1" ht="18" customHeight="1">
      <c r="A3" s="1226">
        <v>2021</v>
      </c>
      <c r="B3" s="1226"/>
      <c r="C3" s="1226"/>
      <c r="D3" s="1226"/>
      <c r="E3" s="1226"/>
      <c r="F3" s="1226"/>
      <c r="G3" s="1226"/>
      <c r="H3" s="1226"/>
      <c r="I3" s="1069"/>
      <c r="J3" s="1069"/>
      <c r="K3" s="1069"/>
      <c r="L3" s="1069"/>
      <c r="M3" s="1069"/>
      <c r="N3" s="1069"/>
      <c r="O3" s="384"/>
      <c r="P3" s="384"/>
      <c r="Q3" s="384"/>
      <c r="R3" s="384"/>
      <c r="S3" s="383"/>
      <c r="T3" s="383"/>
      <c r="U3" s="383"/>
      <c r="V3" s="383"/>
    </row>
    <row r="4" spans="1:22" s="2" customFormat="1" ht="15.75">
      <c r="A4" s="1226" t="s">
        <v>368</v>
      </c>
      <c r="B4" s="1226"/>
      <c r="C4" s="1226"/>
      <c r="D4" s="1226"/>
      <c r="E4" s="1226"/>
      <c r="F4" s="1226"/>
      <c r="G4" s="1226"/>
      <c r="H4" s="1226"/>
      <c r="I4" s="1069"/>
      <c r="J4" s="1069"/>
      <c r="K4" s="1069"/>
      <c r="L4" s="1069"/>
      <c r="M4" s="1069"/>
      <c r="N4" s="1069"/>
      <c r="O4" s="383"/>
      <c r="P4" s="383"/>
      <c r="Q4" s="383"/>
      <c r="R4" s="383"/>
      <c r="S4" s="383"/>
      <c r="T4" s="383"/>
      <c r="U4" s="383"/>
      <c r="V4" s="383"/>
    </row>
    <row r="5" spans="1:22" s="2" customFormat="1" ht="15.75">
      <c r="A5" s="356"/>
      <c r="B5" s="356"/>
      <c r="C5" s="356"/>
      <c r="D5" s="356"/>
      <c r="E5" s="356"/>
      <c r="F5" s="356"/>
      <c r="G5" s="356"/>
      <c r="H5" s="356"/>
      <c r="I5" s="362"/>
      <c r="J5" s="362"/>
      <c r="K5" s="362"/>
      <c r="L5" s="362"/>
      <c r="M5" s="362"/>
      <c r="N5" s="362"/>
      <c r="O5" s="383"/>
      <c r="P5" s="383"/>
      <c r="Q5" s="383"/>
      <c r="R5" s="383"/>
      <c r="S5" s="383"/>
      <c r="T5" s="383"/>
      <c r="U5" s="383"/>
      <c r="V5" s="383"/>
    </row>
    <row r="6" spans="1:22" ht="15.75">
      <c r="A6" s="4" t="s">
        <v>414</v>
      </c>
      <c r="B6" s="5"/>
      <c r="C6" s="5"/>
      <c r="D6" s="5"/>
      <c r="E6" s="5"/>
      <c r="F6" s="5"/>
      <c r="G6" s="5"/>
      <c r="H6" s="5"/>
      <c r="I6" s="378"/>
      <c r="J6" s="378"/>
      <c r="K6" s="378"/>
      <c r="L6" s="378"/>
      <c r="M6" s="378"/>
      <c r="N6" s="376" t="s">
        <v>415</v>
      </c>
      <c r="O6" s="88"/>
      <c r="P6" s="88"/>
      <c r="Q6" s="88"/>
      <c r="R6" s="88"/>
      <c r="S6" s="88"/>
      <c r="T6" s="88"/>
      <c r="U6" s="88"/>
      <c r="V6" s="88"/>
    </row>
    <row r="7" spans="1:22" ht="26.25" customHeight="1">
      <c r="A7" s="1219" t="s">
        <v>141</v>
      </c>
      <c r="B7" s="1101" t="s">
        <v>135</v>
      </c>
      <c r="C7" s="1221"/>
      <c r="D7" s="1221"/>
      <c r="E7" s="1221"/>
      <c r="F7" s="1221"/>
      <c r="G7" s="1221"/>
      <c r="H7" s="1221"/>
      <c r="I7" s="1221"/>
      <c r="J7" s="1221"/>
      <c r="K7" s="1221"/>
      <c r="L7" s="1221"/>
      <c r="M7" s="1102"/>
      <c r="N7" s="1222" t="s">
        <v>1075</v>
      </c>
    </row>
    <row r="8" spans="1:22" ht="44.25" customHeight="1">
      <c r="A8" s="1220"/>
      <c r="B8" s="778">
        <v>-20</v>
      </c>
      <c r="C8" s="778" t="s">
        <v>127</v>
      </c>
      <c r="D8" s="778" t="s">
        <v>126</v>
      </c>
      <c r="E8" s="778" t="s">
        <v>125</v>
      </c>
      <c r="F8" s="778" t="s">
        <v>124</v>
      </c>
      <c r="G8" s="778" t="s">
        <v>123</v>
      </c>
      <c r="H8" s="778" t="s">
        <v>122</v>
      </c>
      <c r="I8" s="778" t="s">
        <v>121</v>
      </c>
      <c r="J8" s="778" t="s">
        <v>120</v>
      </c>
      <c r="K8" s="778" t="s">
        <v>132</v>
      </c>
      <c r="L8" s="332" t="s">
        <v>646</v>
      </c>
      <c r="M8" s="329" t="s">
        <v>595</v>
      </c>
      <c r="N8" s="1223"/>
    </row>
    <row r="9" spans="1:22" ht="18" customHeight="1" thickBot="1">
      <c r="A9" s="810" t="s">
        <v>426</v>
      </c>
      <c r="B9" s="75">
        <v>0</v>
      </c>
      <c r="C9" s="75">
        <v>0</v>
      </c>
      <c r="D9" s="75">
        <v>0</v>
      </c>
      <c r="E9" s="75">
        <v>0</v>
      </c>
      <c r="F9" s="75">
        <v>0</v>
      </c>
      <c r="G9" s="75">
        <v>0</v>
      </c>
      <c r="H9" s="75">
        <v>0</v>
      </c>
      <c r="I9" s="75">
        <v>0</v>
      </c>
      <c r="J9" s="75">
        <v>0</v>
      </c>
      <c r="K9" s="75">
        <v>0</v>
      </c>
      <c r="L9" s="75">
        <v>0</v>
      </c>
      <c r="M9" s="6">
        <v>0</v>
      </c>
      <c r="N9" s="95" t="s">
        <v>426</v>
      </c>
    </row>
    <row r="10" spans="1:22" ht="18" customHeight="1" thickBot="1">
      <c r="A10" s="810" t="s">
        <v>127</v>
      </c>
      <c r="B10" s="231">
        <v>9</v>
      </c>
      <c r="C10" s="231">
        <v>38</v>
      </c>
      <c r="D10" s="231">
        <v>5</v>
      </c>
      <c r="E10" s="231">
        <v>1</v>
      </c>
      <c r="F10" s="231">
        <v>0</v>
      </c>
      <c r="G10" s="231">
        <v>0</v>
      </c>
      <c r="H10" s="231">
        <v>0</v>
      </c>
      <c r="I10" s="231">
        <v>0</v>
      </c>
      <c r="J10" s="231">
        <v>0</v>
      </c>
      <c r="K10" s="231">
        <v>0</v>
      </c>
      <c r="L10" s="231">
        <v>1</v>
      </c>
      <c r="M10" s="6">
        <v>54</v>
      </c>
      <c r="N10" s="95" t="s">
        <v>127</v>
      </c>
    </row>
    <row r="11" spans="1:22" ht="18" customHeight="1" thickBot="1">
      <c r="A11" s="810" t="s">
        <v>126</v>
      </c>
      <c r="B11" s="231">
        <v>12</v>
      </c>
      <c r="C11" s="231">
        <v>90</v>
      </c>
      <c r="D11" s="231">
        <v>108</v>
      </c>
      <c r="E11" s="231">
        <v>14</v>
      </c>
      <c r="F11" s="231">
        <v>3</v>
      </c>
      <c r="G11" s="231">
        <v>2</v>
      </c>
      <c r="H11" s="231">
        <v>2</v>
      </c>
      <c r="I11" s="231">
        <v>0</v>
      </c>
      <c r="J11" s="231">
        <v>0</v>
      </c>
      <c r="K11" s="231">
        <v>0</v>
      </c>
      <c r="L11" s="231">
        <v>1</v>
      </c>
      <c r="M11" s="6">
        <v>232</v>
      </c>
      <c r="N11" s="95" t="s">
        <v>126</v>
      </c>
    </row>
    <row r="12" spans="1:22" ht="18" customHeight="1" thickBot="1">
      <c r="A12" s="810" t="s">
        <v>125</v>
      </c>
      <c r="B12" s="231">
        <v>2</v>
      </c>
      <c r="C12" s="231">
        <v>40</v>
      </c>
      <c r="D12" s="231">
        <v>73</v>
      </c>
      <c r="E12" s="231">
        <v>65</v>
      </c>
      <c r="F12" s="231">
        <v>10</v>
      </c>
      <c r="G12" s="231">
        <v>4</v>
      </c>
      <c r="H12" s="231">
        <v>1</v>
      </c>
      <c r="I12" s="231">
        <v>0</v>
      </c>
      <c r="J12" s="231">
        <v>0</v>
      </c>
      <c r="K12" s="231">
        <v>0</v>
      </c>
      <c r="L12" s="231">
        <v>6</v>
      </c>
      <c r="M12" s="6">
        <v>201</v>
      </c>
      <c r="N12" s="95" t="s">
        <v>125</v>
      </c>
    </row>
    <row r="13" spans="1:22" ht="18" customHeight="1" thickBot="1">
      <c r="A13" s="810" t="s">
        <v>124</v>
      </c>
      <c r="B13" s="231">
        <v>0</v>
      </c>
      <c r="C13" s="231">
        <v>10</v>
      </c>
      <c r="D13" s="231">
        <v>24</v>
      </c>
      <c r="E13" s="231">
        <v>51</v>
      </c>
      <c r="F13" s="231">
        <v>52</v>
      </c>
      <c r="G13" s="231">
        <v>18</v>
      </c>
      <c r="H13" s="231">
        <v>0</v>
      </c>
      <c r="I13" s="231">
        <v>1</v>
      </c>
      <c r="J13" s="231">
        <v>0</v>
      </c>
      <c r="K13" s="231">
        <v>0</v>
      </c>
      <c r="L13" s="231">
        <v>0</v>
      </c>
      <c r="M13" s="6">
        <v>156</v>
      </c>
      <c r="N13" s="95" t="s">
        <v>124</v>
      </c>
    </row>
    <row r="14" spans="1:22" ht="18" customHeight="1" thickBot="1">
      <c r="A14" s="810" t="s">
        <v>123</v>
      </c>
      <c r="B14" s="231">
        <v>0</v>
      </c>
      <c r="C14" s="231">
        <v>1</v>
      </c>
      <c r="D14" s="231">
        <v>10</v>
      </c>
      <c r="E14" s="231">
        <v>24</v>
      </c>
      <c r="F14" s="231">
        <v>40</v>
      </c>
      <c r="G14" s="231">
        <v>31</v>
      </c>
      <c r="H14" s="231">
        <v>13</v>
      </c>
      <c r="I14" s="231">
        <v>1</v>
      </c>
      <c r="J14" s="231">
        <v>0</v>
      </c>
      <c r="K14" s="231">
        <v>0</v>
      </c>
      <c r="L14" s="231">
        <v>1</v>
      </c>
      <c r="M14" s="6">
        <v>121</v>
      </c>
      <c r="N14" s="95" t="s">
        <v>123</v>
      </c>
    </row>
    <row r="15" spans="1:22" ht="18" customHeight="1" thickBot="1">
      <c r="A15" s="810" t="s">
        <v>122</v>
      </c>
      <c r="B15" s="231">
        <v>0</v>
      </c>
      <c r="C15" s="231">
        <v>1</v>
      </c>
      <c r="D15" s="231">
        <v>2</v>
      </c>
      <c r="E15" s="231">
        <v>13</v>
      </c>
      <c r="F15" s="231">
        <v>25</v>
      </c>
      <c r="G15" s="231">
        <v>15</v>
      </c>
      <c r="H15" s="231">
        <v>18</v>
      </c>
      <c r="I15" s="231">
        <v>6</v>
      </c>
      <c r="J15" s="231">
        <v>1</v>
      </c>
      <c r="K15" s="231">
        <v>0</v>
      </c>
      <c r="L15" s="231">
        <v>1</v>
      </c>
      <c r="M15" s="6">
        <v>82</v>
      </c>
      <c r="N15" s="95" t="s">
        <v>122</v>
      </c>
    </row>
    <row r="16" spans="1:22" ht="18" customHeight="1" thickBot="1">
      <c r="A16" s="810" t="s">
        <v>121</v>
      </c>
      <c r="B16" s="231">
        <v>0</v>
      </c>
      <c r="C16" s="231">
        <v>0</v>
      </c>
      <c r="D16" s="231">
        <v>0</v>
      </c>
      <c r="E16" s="231">
        <v>7</v>
      </c>
      <c r="F16" s="231">
        <v>12</v>
      </c>
      <c r="G16" s="231">
        <v>12</v>
      </c>
      <c r="H16" s="231">
        <v>19</v>
      </c>
      <c r="I16" s="231">
        <v>17</v>
      </c>
      <c r="J16" s="231">
        <v>5</v>
      </c>
      <c r="K16" s="231">
        <v>0</v>
      </c>
      <c r="L16" s="231">
        <v>0</v>
      </c>
      <c r="M16" s="6">
        <v>72</v>
      </c>
      <c r="N16" s="95" t="s">
        <v>121</v>
      </c>
    </row>
    <row r="17" spans="1:14" ht="18" customHeight="1" thickBot="1">
      <c r="A17" s="810" t="s">
        <v>120</v>
      </c>
      <c r="B17" s="231">
        <v>0</v>
      </c>
      <c r="C17" s="231">
        <v>0</v>
      </c>
      <c r="D17" s="231">
        <v>6</v>
      </c>
      <c r="E17" s="231">
        <v>1</v>
      </c>
      <c r="F17" s="231">
        <v>7</v>
      </c>
      <c r="G17" s="231">
        <v>6</v>
      </c>
      <c r="H17" s="231">
        <v>9</v>
      </c>
      <c r="I17" s="231">
        <v>16</v>
      </c>
      <c r="J17" s="231">
        <v>6</v>
      </c>
      <c r="K17" s="231">
        <v>0</v>
      </c>
      <c r="L17" s="231">
        <v>0</v>
      </c>
      <c r="M17" s="6">
        <v>51</v>
      </c>
      <c r="N17" s="95" t="s">
        <v>120</v>
      </c>
    </row>
    <row r="18" spans="1:14" ht="18" customHeight="1" thickBot="1">
      <c r="A18" s="810" t="s">
        <v>119</v>
      </c>
      <c r="B18" s="231">
        <v>0</v>
      </c>
      <c r="C18" s="231">
        <v>0</v>
      </c>
      <c r="D18" s="231">
        <v>0</v>
      </c>
      <c r="E18" s="231">
        <v>1</v>
      </c>
      <c r="F18" s="231">
        <v>3</v>
      </c>
      <c r="G18" s="231">
        <v>0</v>
      </c>
      <c r="H18" s="231">
        <v>6</v>
      </c>
      <c r="I18" s="231">
        <v>5</v>
      </c>
      <c r="J18" s="231">
        <v>5</v>
      </c>
      <c r="K18" s="231">
        <v>4</v>
      </c>
      <c r="L18" s="231">
        <v>2</v>
      </c>
      <c r="M18" s="6">
        <v>26</v>
      </c>
      <c r="N18" s="95" t="s">
        <v>119</v>
      </c>
    </row>
    <row r="19" spans="1:14" ht="18" customHeight="1" thickBot="1">
      <c r="A19" s="810" t="s">
        <v>118</v>
      </c>
      <c r="B19" s="231">
        <v>0</v>
      </c>
      <c r="C19" s="231">
        <v>0</v>
      </c>
      <c r="D19" s="231">
        <v>1</v>
      </c>
      <c r="E19" s="231">
        <v>0</v>
      </c>
      <c r="F19" s="231">
        <v>5</v>
      </c>
      <c r="G19" s="231">
        <v>1</v>
      </c>
      <c r="H19" s="231">
        <v>1</v>
      </c>
      <c r="I19" s="231">
        <v>3</v>
      </c>
      <c r="J19" s="231">
        <v>2</v>
      </c>
      <c r="K19" s="231">
        <v>2</v>
      </c>
      <c r="L19" s="231">
        <v>1</v>
      </c>
      <c r="M19" s="6">
        <v>16</v>
      </c>
      <c r="N19" s="95" t="s">
        <v>118</v>
      </c>
    </row>
    <row r="20" spans="1:14" ht="18" customHeight="1" thickBot="1">
      <c r="A20" s="810" t="s">
        <v>117</v>
      </c>
      <c r="B20" s="231">
        <v>0</v>
      </c>
      <c r="C20" s="231">
        <v>0</v>
      </c>
      <c r="D20" s="231">
        <v>0</v>
      </c>
      <c r="E20" s="231">
        <v>1</v>
      </c>
      <c r="F20" s="231">
        <v>1</v>
      </c>
      <c r="G20" s="231">
        <v>0</v>
      </c>
      <c r="H20" s="231">
        <v>1</v>
      </c>
      <c r="I20" s="231">
        <v>0</v>
      </c>
      <c r="J20" s="231">
        <v>0</v>
      </c>
      <c r="K20" s="231">
        <v>4</v>
      </c>
      <c r="L20" s="231">
        <v>0</v>
      </c>
      <c r="M20" s="6">
        <v>7</v>
      </c>
      <c r="N20" s="95" t="s">
        <v>117</v>
      </c>
    </row>
    <row r="21" spans="1:14" ht="18" customHeight="1" thickBot="1">
      <c r="A21" s="810" t="s">
        <v>116</v>
      </c>
      <c r="B21" s="231">
        <v>0</v>
      </c>
      <c r="C21" s="231">
        <v>0</v>
      </c>
      <c r="D21" s="231">
        <v>0</v>
      </c>
      <c r="E21" s="231">
        <v>0</v>
      </c>
      <c r="F21" s="231">
        <v>1</v>
      </c>
      <c r="G21" s="231">
        <v>1</v>
      </c>
      <c r="H21" s="231">
        <v>2</v>
      </c>
      <c r="I21" s="231">
        <v>2</v>
      </c>
      <c r="J21" s="231">
        <v>2</v>
      </c>
      <c r="K21" s="231">
        <v>1</v>
      </c>
      <c r="L21" s="231">
        <v>0</v>
      </c>
      <c r="M21" s="6">
        <v>9</v>
      </c>
      <c r="N21" s="95" t="s">
        <v>116</v>
      </c>
    </row>
    <row r="22" spans="1:14" ht="18" customHeight="1" thickBot="1">
      <c r="A22" s="848" t="s">
        <v>14</v>
      </c>
      <c r="B22" s="232">
        <v>0</v>
      </c>
      <c r="C22" s="232">
        <v>0</v>
      </c>
      <c r="D22" s="232">
        <v>0</v>
      </c>
      <c r="E22" s="232">
        <v>0</v>
      </c>
      <c r="F22" s="232">
        <v>0</v>
      </c>
      <c r="G22" s="232">
        <v>0</v>
      </c>
      <c r="H22" s="232">
        <v>0</v>
      </c>
      <c r="I22" s="232">
        <v>0</v>
      </c>
      <c r="J22" s="232">
        <v>0</v>
      </c>
      <c r="K22" s="232">
        <v>0</v>
      </c>
      <c r="L22" s="232">
        <v>0</v>
      </c>
      <c r="M22" s="6">
        <v>0</v>
      </c>
      <c r="N22" s="850" t="s">
        <v>15</v>
      </c>
    </row>
    <row r="23" spans="1:14" ht="18" customHeight="1">
      <c r="A23" s="90" t="s">
        <v>16</v>
      </c>
      <c r="B23" s="111">
        <f>SUM(B9:B22)</f>
        <v>23</v>
      </c>
      <c r="C23" s="111">
        <f t="shared" ref="C23:M23" si="0">SUM(C9:C22)</f>
        <v>180</v>
      </c>
      <c r="D23" s="111">
        <f t="shared" si="0"/>
        <v>229</v>
      </c>
      <c r="E23" s="111">
        <f t="shared" si="0"/>
        <v>178</v>
      </c>
      <c r="F23" s="111">
        <f t="shared" si="0"/>
        <v>159</v>
      </c>
      <c r="G23" s="111">
        <f t="shared" si="0"/>
        <v>90</v>
      </c>
      <c r="H23" s="111">
        <f t="shared" si="0"/>
        <v>72</v>
      </c>
      <c r="I23" s="111">
        <f t="shared" si="0"/>
        <v>51</v>
      </c>
      <c r="J23" s="111">
        <f t="shared" si="0"/>
        <v>21</v>
      </c>
      <c r="K23" s="111">
        <f t="shared" si="0"/>
        <v>11</v>
      </c>
      <c r="L23" s="111">
        <f t="shared" si="0"/>
        <v>13</v>
      </c>
      <c r="M23" s="111">
        <f t="shared" si="0"/>
        <v>1027</v>
      </c>
      <c r="N23" s="91" t="s">
        <v>55</v>
      </c>
    </row>
    <row r="26" spans="1:14" ht="33.75" customHeight="1">
      <c r="B26" s="12" t="s">
        <v>361</v>
      </c>
      <c r="C26" s="12" t="s">
        <v>360</v>
      </c>
    </row>
    <row r="27" spans="1:14">
      <c r="A27" s="265">
        <v>-20</v>
      </c>
      <c r="B27" s="1">
        <f>B23</f>
        <v>23</v>
      </c>
      <c r="C27" s="1">
        <f>M9</f>
        <v>0</v>
      </c>
    </row>
    <row r="28" spans="1:14">
      <c r="A28" s="12" t="s">
        <v>5</v>
      </c>
      <c r="B28" s="1">
        <f>C23</f>
        <v>180</v>
      </c>
      <c r="C28" s="1">
        <f t="shared" ref="C28:C35" si="1">M10</f>
        <v>54</v>
      </c>
    </row>
    <row r="29" spans="1:14">
      <c r="A29" s="1" t="s">
        <v>6</v>
      </c>
      <c r="B29" s="1">
        <f>D23</f>
        <v>229</v>
      </c>
      <c r="C29" s="1">
        <f t="shared" si="1"/>
        <v>232</v>
      </c>
    </row>
    <row r="30" spans="1:14">
      <c r="A30" s="1" t="s">
        <v>7</v>
      </c>
      <c r="B30" s="1">
        <f>E23</f>
        <v>178</v>
      </c>
      <c r="C30" s="1">
        <f t="shared" si="1"/>
        <v>201</v>
      </c>
    </row>
    <row r="31" spans="1:14">
      <c r="A31" s="1" t="s">
        <v>8</v>
      </c>
      <c r="B31" s="1">
        <f>F23</f>
        <v>159</v>
      </c>
      <c r="C31" s="1">
        <f t="shared" si="1"/>
        <v>156</v>
      </c>
    </row>
    <row r="32" spans="1:14">
      <c r="A32" s="1" t="s">
        <v>9</v>
      </c>
      <c r="B32" s="1">
        <f>G23</f>
        <v>90</v>
      </c>
      <c r="C32" s="1">
        <f t="shared" si="1"/>
        <v>121</v>
      </c>
    </row>
    <row r="33" spans="1:4">
      <c r="A33" s="1" t="s">
        <v>10</v>
      </c>
      <c r="B33" s="1">
        <f>H23</f>
        <v>72</v>
      </c>
      <c r="C33" s="1">
        <f t="shared" si="1"/>
        <v>82</v>
      </c>
    </row>
    <row r="34" spans="1:4">
      <c r="A34" s="1" t="s">
        <v>11</v>
      </c>
      <c r="B34" s="1">
        <f>I23</f>
        <v>51</v>
      </c>
      <c r="C34" s="1">
        <f t="shared" si="1"/>
        <v>72</v>
      </c>
    </row>
    <row r="35" spans="1:4">
      <c r="A35" s="1" t="s">
        <v>12</v>
      </c>
      <c r="B35" s="1">
        <f>J23</f>
        <v>21</v>
      </c>
      <c r="C35" s="1">
        <f t="shared" si="1"/>
        <v>51</v>
      </c>
    </row>
    <row r="36" spans="1:4" ht="13.5" thickBot="1">
      <c r="A36" s="1" t="s">
        <v>13</v>
      </c>
      <c r="B36" s="1">
        <f>K23</f>
        <v>11</v>
      </c>
      <c r="C36" s="1">
        <f>M18+M19+M20+M21</f>
        <v>58</v>
      </c>
    </row>
    <row r="37" spans="1:4" ht="15.75" thickBot="1">
      <c r="A37" s="80"/>
      <c r="B37" s="1">
        <f>SUM(B27:B36)</f>
        <v>1014</v>
      </c>
      <c r="C37" s="1">
        <f>SUM(C27:C36)</f>
        <v>1027</v>
      </c>
    </row>
    <row r="38" spans="1:4" ht="15.75" thickBot="1">
      <c r="D38" s="80"/>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6" orientation="landscape" r:id="rId1"/>
  <headerFooter alignWithMargins="0"/>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32"/>
  <sheetViews>
    <sheetView rightToLeft="1" view="pageBreakPreview" zoomScaleNormal="100" zoomScaleSheetLayoutView="100" workbookViewId="0">
      <selection activeCell="F18" sqref="F18"/>
    </sheetView>
  </sheetViews>
  <sheetFormatPr defaultColWidth="9.140625" defaultRowHeight="12.75"/>
  <cols>
    <col min="1" max="1" width="16.85546875" style="1" customWidth="1"/>
    <col min="2" max="2" width="8.42578125" style="1" customWidth="1"/>
    <col min="3" max="3" width="8.42578125" style="11" customWidth="1"/>
    <col min="4" max="4" width="8.42578125" style="1" customWidth="1"/>
    <col min="5" max="5" width="8.42578125" style="11" customWidth="1"/>
    <col min="6" max="6" width="8.42578125" style="1" customWidth="1"/>
    <col min="7" max="7" width="8.42578125" style="11" customWidth="1"/>
    <col min="8" max="8" width="8.42578125" style="1" customWidth="1"/>
    <col min="9" max="9" width="8.42578125" style="11" customWidth="1"/>
    <col min="10" max="10" width="8.42578125" style="1" customWidth="1"/>
    <col min="11" max="11" width="8.42578125" style="11" customWidth="1"/>
    <col min="12" max="12" width="8.42578125" style="1" customWidth="1"/>
    <col min="13" max="13" width="8.42578125" style="11" customWidth="1"/>
    <col min="14" max="14" width="14" style="1" customWidth="1"/>
    <col min="15" max="16384" width="9.140625" style="1"/>
  </cols>
  <sheetData>
    <row r="1" spans="1:14" ht="23.25" customHeight="1">
      <c r="A1" s="1041" t="s">
        <v>554</v>
      </c>
      <c r="B1" s="1041"/>
      <c r="C1" s="1041"/>
      <c r="D1" s="1041"/>
      <c r="E1" s="1041"/>
      <c r="F1" s="1041"/>
      <c r="G1" s="1041"/>
      <c r="H1" s="1041"/>
      <c r="I1" s="1041"/>
      <c r="J1" s="1041"/>
      <c r="K1" s="1041"/>
      <c r="L1" s="1041"/>
      <c r="M1" s="1041"/>
      <c r="N1" s="1041"/>
    </row>
    <row r="2" spans="1:14" s="23" customFormat="1" ht="15.75">
      <c r="A2" s="1047" t="s">
        <v>558</v>
      </c>
      <c r="B2" s="1047"/>
      <c r="C2" s="1047"/>
      <c r="D2" s="1047"/>
      <c r="E2" s="1047"/>
      <c r="F2" s="1047"/>
      <c r="G2" s="1047"/>
      <c r="H2" s="1047"/>
      <c r="I2" s="1047"/>
      <c r="J2" s="1047"/>
      <c r="K2" s="1047"/>
      <c r="L2" s="1047"/>
      <c r="M2" s="1047"/>
      <c r="N2" s="1047"/>
    </row>
    <row r="3" spans="1:14" s="23" customFormat="1" ht="15.75">
      <c r="A3" s="1048" t="s">
        <v>1318</v>
      </c>
      <c r="B3" s="1048"/>
      <c r="C3" s="1048"/>
      <c r="D3" s="1048"/>
      <c r="E3" s="1048"/>
      <c r="F3" s="1048"/>
      <c r="G3" s="1048"/>
      <c r="H3" s="1048"/>
      <c r="I3" s="1048"/>
      <c r="J3" s="1048"/>
      <c r="K3" s="1048"/>
      <c r="L3" s="1048"/>
      <c r="M3" s="1048"/>
      <c r="N3" s="1048"/>
    </row>
    <row r="4" spans="1:14" s="23" customFormat="1" ht="15.75">
      <c r="A4" s="357"/>
      <c r="B4" s="357"/>
      <c r="C4" s="357"/>
      <c r="D4" s="357"/>
      <c r="E4" s="357"/>
      <c r="F4" s="357"/>
      <c r="G4" s="357"/>
      <c r="H4" s="357"/>
      <c r="I4" s="357"/>
      <c r="J4" s="357"/>
      <c r="K4" s="357"/>
      <c r="L4" s="357"/>
      <c r="M4" s="357"/>
      <c r="N4" s="357"/>
    </row>
    <row r="5" spans="1:14" ht="21.75" customHeight="1">
      <c r="A5" s="358" t="s">
        <v>31</v>
      </c>
      <c r="B5" s="359"/>
      <c r="C5" s="360"/>
      <c r="D5" s="359"/>
      <c r="E5" s="360"/>
      <c r="F5" s="359"/>
      <c r="G5" s="360"/>
      <c r="H5" s="359"/>
      <c r="I5" s="360"/>
      <c r="J5" s="359"/>
      <c r="K5" s="359"/>
      <c r="L5" s="359"/>
      <c r="M5" s="359"/>
      <c r="N5" s="361" t="s">
        <v>386</v>
      </c>
    </row>
    <row r="6" spans="1:14" ht="38.25" customHeight="1" thickBot="1">
      <c r="A6" s="1044" t="s">
        <v>30</v>
      </c>
      <c r="B6" s="1043" t="s">
        <v>29</v>
      </c>
      <c r="C6" s="1043"/>
      <c r="D6" s="1043"/>
      <c r="E6" s="1043"/>
      <c r="F6" s="1043"/>
      <c r="G6" s="1043"/>
      <c r="H6" s="1043" t="s">
        <v>689</v>
      </c>
      <c r="I6" s="1043"/>
      <c r="J6" s="1043"/>
      <c r="K6" s="1043"/>
      <c r="L6" s="1043"/>
      <c r="M6" s="1043"/>
      <c r="N6" s="1049" t="s">
        <v>28</v>
      </c>
    </row>
    <row r="7" spans="1:14" ht="29.25" customHeight="1" thickBot="1">
      <c r="A7" s="1045"/>
      <c r="B7" s="1042" t="s">
        <v>1025</v>
      </c>
      <c r="C7" s="1042"/>
      <c r="D7" s="1042" t="s">
        <v>1026</v>
      </c>
      <c r="E7" s="1042"/>
      <c r="F7" s="1042" t="s">
        <v>27</v>
      </c>
      <c r="G7" s="1042"/>
      <c r="H7" s="1042" t="s">
        <v>1025</v>
      </c>
      <c r="I7" s="1042"/>
      <c r="J7" s="1042" t="s">
        <v>1026</v>
      </c>
      <c r="K7" s="1042"/>
      <c r="L7" s="1042" t="s">
        <v>27</v>
      </c>
      <c r="M7" s="1042"/>
      <c r="N7" s="1050"/>
    </row>
    <row r="8" spans="1:14" ht="27">
      <c r="A8" s="1046"/>
      <c r="B8" s="22" t="s">
        <v>26</v>
      </c>
      <c r="C8" s="121" t="s">
        <v>25</v>
      </c>
      <c r="D8" s="22" t="s">
        <v>26</v>
      </c>
      <c r="E8" s="121" t="s">
        <v>25</v>
      </c>
      <c r="F8" s="22" t="s">
        <v>26</v>
      </c>
      <c r="G8" s="121" t="s">
        <v>25</v>
      </c>
      <c r="H8" s="22" t="s">
        <v>26</v>
      </c>
      <c r="I8" s="121" t="s">
        <v>25</v>
      </c>
      <c r="J8" s="22" t="s">
        <v>26</v>
      </c>
      <c r="K8" s="121" t="s">
        <v>25</v>
      </c>
      <c r="L8" s="22" t="s">
        <v>26</v>
      </c>
      <c r="M8" s="121" t="s">
        <v>25</v>
      </c>
      <c r="N8" s="1051"/>
    </row>
    <row r="9" spans="1:14" s="88" customFormat="1" hidden="1">
      <c r="A9" s="124">
        <v>2011</v>
      </c>
      <c r="B9" s="93">
        <v>1898</v>
      </c>
      <c r="C9" s="125">
        <v>57.6</v>
      </c>
      <c r="D9" s="93">
        <v>1395</v>
      </c>
      <c r="E9" s="125">
        <v>42.4</v>
      </c>
      <c r="F9" s="93">
        <v>3293</v>
      </c>
      <c r="G9" s="125">
        <v>100</v>
      </c>
      <c r="H9" s="93">
        <v>754</v>
      </c>
      <c r="I9" s="125">
        <v>68.099999999999994</v>
      </c>
      <c r="J9" s="93">
        <v>354</v>
      </c>
      <c r="K9" s="125">
        <v>31.900000000000002</v>
      </c>
      <c r="L9" s="126">
        <v>1108</v>
      </c>
      <c r="M9" s="127">
        <v>100</v>
      </c>
      <c r="N9" s="124">
        <v>2011</v>
      </c>
    </row>
    <row r="10" spans="1:14" ht="24.95" customHeight="1" thickBot="1">
      <c r="A10" s="576">
        <v>2012</v>
      </c>
      <c r="B10" s="128">
        <v>2053</v>
      </c>
      <c r="C10" s="129">
        <f>Table_Default__XLS_TAB_1[[#This Row],[M_QTRI_COUNT]]/Table_Default__XLS_TAB_1[[#This Row],[M_QTRI_TOT_COUNT]]%</f>
        <v>58.125707814269532</v>
      </c>
      <c r="D10" s="128">
        <v>1479</v>
      </c>
      <c r="E10" s="129">
        <f>Table_Default__XLS_TAB_1[[#This Row],[M_NQTRI_COUNT]]/Table_Default__XLS_TAB_1[[#This Row],[M_QTRI_TOT_COUNT]]%</f>
        <v>41.874292185730461</v>
      </c>
      <c r="F10" s="130">
        <v>3532</v>
      </c>
      <c r="G10" s="131">
        <v>100</v>
      </c>
      <c r="H10" s="128">
        <v>835</v>
      </c>
      <c r="I10" s="129">
        <f>Table_Default__XLS_TAB_1[[#This Row],[D_QTRI_COUNT]]/Table_Default__XLS_TAB_1[[#This Row],[D_QTRI_TOT_COUNT]]%</f>
        <v>58.802816901408455</v>
      </c>
      <c r="J10" s="128">
        <v>585</v>
      </c>
      <c r="K10" s="129">
        <f>Table_Default__XLS_TAB_1[[#This Row],[D_NQTRI_COUNT]]/Table_Default__XLS_TAB_1[[#This Row],[D_QTRI_TOT_COUNT]]%</f>
        <v>41.197183098591552</v>
      </c>
      <c r="L10" s="130">
        <v>1420</v>
      </c>
      <c r="M10" s="131">
        <v>100</v>
      </c>
      <c r="N10" s="577">
        <v>2012</v>
      </c>
    </row>
    <row r="11" spans="1:14" ht="24.95" customHeight="1" thickBot="1">
      <c r="A11" s="932">
        <v>2013</v>
      </c>
      <c r="B11" s="933">
        <v>2072</v>
      </c>
      <c r="C11" s="931">
        <f>Table_Default__XLS_TAB_1[[#This Row],[M_QTRI_COUNT]]/Table_Default__XLS_TAB_1[[#This Row],[M_QTRI_TOT_COUNT]]%</f>
        <v>57.253384912959383</v>
      </c>
      <c r="D11" s="933">
        <v>1547</v>
      </c>
      <c r="E11" s="931">
        <f>Table_Default__XLS_TAB_1[[#This Row],[M_NQTRI_COUNT]]/Table_Default__XLS_TAB_1[[#This Row],[M_QTRI_TOT_COUNT]]%</f>
        <v>42.746615087040624</v>
      </c>
      <c r="F11" s="934">
        <v>3619</v>
      </c>
      <c r="G11" s="935">
        <v>100</v>
      </c>
      <c r="H11" s="933">
        <v>816</v>
      </c>
      <c r="I11" s="931">
        <f>Table_Default__XLS_TAB_1[[#This Row],[D_QTRI_COUNT]]/Table_Default__XLS_TAB_1[[#This Row],[D_QTRI_TOT_COUNT]]%</f>
        <v>61.584905660377359</v>
      </c>
      <c r="J11" s="933">
        <v>509</v>
      </c>
      <c r="K11" s="931">
        <f>Table_Default__XLS_TAB_1[[#This Row],[D_NQTRI_COUNT]]/Table_Default__XLS_TAB_1[[#This Row],[D_QTRI_TOT_COUNT]]%</f>
        <v>38.415094339622641</v>
      </c>
      <c r="L11" s="934">
        <v>1325</v>
      </c>
      <c r="M11" s="935">
        <v>100</v>
      </c>
      <c r="N11" s="925">
        <v>2013</v>
      </c>
    </row>
    <row r="12" spans="1:14" s="88" customFormat="1" ht="24.95" customHeight="1" thickBot="1">
      <c r="A12" s="926">
        <v>2014</v>
      </c>
      <c r="B12" s="927">
        <v>2076</v>
      </c>
      <c r="C12" s="928">
        <f>Table_Default__XLS_TAB_1[[#This Row],[M_QTRI_COUNT]]/Table_Default__XLS_TAB_1[[#This Row],[M_QTRI_TOT_COUNT]]%</f>
        <v>56.50517147523135</v>
      </c>
      <c r="D12" s="927">
        <v>1598</v>
      </c>
      <c r="E12" s="928">
        <f>Table_Default__XLS_TAB_1[[#This Row],[M_NQTRI_COUNT]]/Table_Default__XLS_TAB_1[[#This Row],[M_QTRI_TOT_COUNT]]%</f>
        <v>43.494828524768643</v>
      </c>
      <c r="F12" s="929">
        <v>3674</v>
      </c>
      <c r="G12" s="930">
        <v>100</v>
      </c>
      <c r="H12" s="927">
        <v>803</v>
      </c>
      <c r="I12" s="928">
        <f>Table_Default__XLS_TAB_1[[#This Row],[D_QTRI_COUNT]]/Table_Default__XLS_TAB_1[[#This Row],[D_QTRI_TOT_COUNT]]%</f>
        <v>61.064638783269963</v>
      </c>
      <c r="J12" s="927">
        <v>512</v>
      </c>
      <c r="K12" s="928">
        <f>Table_Default__XLS_TAB_1[[#This Row],[D_NQTRI_COUNT]]/Table_Default__XLS_TAB_1[[#This Row],[D_QTRI_TOT_COUNT]]%</f>
        <v>38.935361216730037</v>
      </c>
      <c r="L12" s="929">
        <v>1315</v>
      </c>
      <c r="M12" s="930">
        <v>100</v>
      </c>
      <c r="N12" s="578">
        <v>2014</v>
      </c>
    </row>
    <row r="13" spans="1:14" ht="24.95" customHeight="1" thickBot="1">
      <c r="A13" s="932">
        <v>2015</v>
      </c>
      <c r="B13" s="933">
        <v>2069</v>
      </c>
      <c r="C13" s="931">
        <f>Table_Default__XLS_TAB_1[[#This Row],[M_QTRI_COUNT]]/Table_Default__XLS_TAB_1[[#This Row],[M_QTRI_TOT_COUNT]]%</f>
        <v>55.558539205155746</v>
      </c>
      <c r="D13" s="933">
        <v>1655</v>
      </c>
      <c r="E13" s="931">
        <f>Table_Default__XLS_TAB_1[[#This Row],[M_NQTRI_COUNT]]/Table_Default__XLS_TAB_1[[#This Row],[M_QTRI_TOT_COUNT]]%</f>
        <v>44.441460794844254</v>
      </c>
      <c r="F13" s="934">
        <v>3724</v>
      </c>
      <c r="G13" s="935">
        <v>100</v>
      </c>
      <c r="H13" s="933">
        <v>807</v>
      </c>
      <c r="I13" s="931">
        <f>Table_Default__XLS_TAB_1[[#This Row],[D_QTRI_COUNT]]/Table_Default__XLS_TAB_1[[#This Row],[D_QTRI_TOT_COUNT]]%</f>
        <v>61.744452945677125</v>
      </c>
      <c r="J13" s="933">
        <v>500</v>
      </c>
      <c r="K13" s="931">
        <f>Table_Default__XLS_TAB_1[[#This Row],[D_NQTRI_COUNT]]/Table_Default__XLS_TAB_1[[#This Row],[D_QTRI_TOT_COUNT]]%</f>
        <v>38.255547054322875</v>
      </c>
      <c r="L13" s="934">
        <v>1307</v>
      </c>
      <c r="M13" s="935">
        <v>100</v>
      </c>
      <c r="N13" s="925">
        <v>2015</v>
      </c>
    </row>
    <row r="14" spans="1:14" s="88" customFormat="1" ht="24.95" customHeight="1" thickBot="1">
      <c r="A14" s="926">
        <v>2016</v>
      </c>
      <c r="B14" s="927">
        <v>2097</v>
      </c>
      <c r="C14" s="928">
        <f>Table_Default__XLS_TAB_1[[#This Row],[M_QTRI_COUNT]]/Table_Default__XLS_TAB_1[[#This Row],[M_QTRI_TOT_COUNT]]%</f>
        <v>54.751958224543088</v>
      </c>
      <c r="D14" s="927">
        <v>1733</v>
      </c>
      <c r="E14" s="928">
        <f>Table_Default__XLS_TAB_1[[#This Row],[M_NQTRI_COUNT]]/Table_Default__XLS_TAB_1[[#This Row],[M_QTRI_TOT_COUNT]]%</f>
        <v>45.248041775456926</v>
      </c>
      <c r="F14" s="929">
        <v>3830</v>
      </c>
      <c r="G14" s="930">
        <v>100</v>
      </c>
      <c r="H14" s="927">
        <v>730</v>
      </c>
      <c r="I14" s="928">
        <f>Table_Default__XLS_TAB_1[[#This Row],[D_QTRI_COUNT]]/Table_Default__XLS_TAB_1[[#This Row],[D_QTRI_TOT_COUNT]]%</f>
        <v>63.423110338835798</v>
      </c>
      <c r="J14" s="927">
        <v>421</v>
      </c>
      <c r="K14" s="928">
        <f>Table_Default__XLS_TAB_1[[#This Row],[D_NQTRI_COUNT]]/Table_Default__XLS_TAB_1[[#This Row],[D_QTRI_TOT_COUNT]]%</f>
        <v>36.576889661164209</v>
      </c>
      <c r="L14" s="929">
        <v>1151</v>
      </c>
      <c r="M14" s="930">
        <v>100</v>
      </c>
      <c r="N14" s="578">
        <v>2016</v>
      </c>
    </row>
    <row r="15" spans="1:14" ht="24.95" customHeight="1" thickBot="1">
      <c r="A15" s="932">
        <v>2017</v>
      </c>
      <c r="B15" s="933">
        <v>2181</v>
      </c>
      <c r="C15" s="931">
        <f>Table_Default__XLS_TAB_1[[#This Row],[M_QTRI_COUNT]]/Table_Default__XLS_TAB_1[[#This Row],[M_QTRI_TOT_COUNT]]%</f>
        <v>58.660570199031739</v>
      </c>
      <c r="D15" s="933">
        <v>1537</v>
      </c>
      <c r="E15" s="931">
        <f>Table_Default__XLS_TAB_1[[#This Row],[M_NQTRI_COUNT]]/Table_Default__XLS_TAB_1[[#This Row],[M_QTRI_TOT_COUNT]]%</f>
        <v>41.339429800968261</v>
      </c>
      <c r="F15" s="934">
        <v>3718</v>
      </c>
      <c r="G15" s="935">
        <v>100</v>
      </c>
      <c r="H15" s="933">
        <v>786</v>
      </c>
      <c r="I15" s="931">
        <f>Table_Default__XLS_TAB_1[[#This Row],[D_QTRI_COUNT]]/Table_Default__XLS_TAB_1[[#This Row],[D_QTRI_TOT_COUNT]]%</f>
        <v>65.174129353233823</v>
      </c>
      <c r="J15" s="933">
        <v>420</v>
      </c>
      <c r="K15" s="931">
        <f>Table_Default__XLS_TAB_1[[#This Row],[D_NQTRI_COUNT]]/Table_Default__XLS_TAB_1[[#This Row],[D_QTRI_TOT_COUNT]]%</f>
        <v>34.82587064676617</v>
      </c>
      <c r="L15" s="934">
        <v>1206</v>
      </c>
      <c r="M15" s="935">
        <v>100</v>
      </c>
      <c r="N15" s="925">
        <v>2017</v>
      </c>
    </row>
    <row r="16" spans="1:14" s="88" customFormat="1" ht="24.95" customHeight="1" thickBot="1">
      <c r="A16" s="926">
        <v>2018</v>
      </c>
      <c r="B16" s="927">
        <v>2184</v>
      </c>
      <c r="C16" s="964">
        <f>Table_Default__XLS_TAB_1[[#This Row],[M_QTRI_COUNT]]/Table_Default__XLS_TAB_1[[#This Row],[M_QTRI_TOT_COUNT]]%</f>
        <v>58.116019159127198</v>
      </c>
      <c r="D16" s="927">
        <v>1574</v>
      </c>
      <c r="E16" s="964">
        <f>Table_Default__XLS_TAB_1[[#This Row],[M_NQTRI_COUNT]]/Table_Default__XLS_TAB_1[[#This Row],[M_QTRI_TOT_COUNT]]%</f>
        <v>41.883980840872809</v>
      </c>
      <c r="F16" s="929">
        <v>3758</v>
      </c>
      <c r="G16" s="930">
        <v>100</v>
      </c>
      <c r="H16" s="927">
        <v>799</v>
      </c>
      <c r="I16" s="964">
        <f>Table_Default__XLS_TAB_1[[#This Row],[D_QTRI_COUNT]]/Table_Default__XLS_TAB_1[[#This Row],[D_QTRI_TOT_COUNT]]%</f>
        <v>67.597292724196279</v>
      </c>
      <c r="J16" s="927">
        <v>383</v>
      </c>
      <c r="K16" s="964">
        <f>Table_Default__XLS_TAB_1[[#This Row],[D_NQTRI_COUNT]]/Table_Default__XLS_TAB_1[[#This Row],[D_QTRI_TOT_COUNT]]%</f>
        <v>32.402707275803721</v>
      </c>
      <c r="L16" s="929">
        <v>1182</v>
      </c>
      <c r="M16" s="930">
        <v>100</v>
      </c>
      <c r="N16" s="578">
        <v>2018</v>
      </c>
    </row>
    <row r="17" spans="1:14" ht="24.95" customHeight="1" thickBot="1">
      <c r="A17" s="932">
        <v>2019</v>
      </c>
      <c r="B17" s="933">
        <v>2077</v>
      </c>
      <c r="C17" s="931">
        <f>Table_Default__XLS_TAB_1[[#This Row],[M_QTRI_COUNT]]/Table_Default__XLS_TAB_1[[#This Row],[M_QTRI_TOT_COUNT]]%</f>
        <v>57.359845346589339</v>
      </c>
      <c r="D17" s="933">
        <v>1544</v>
      </c>
      <c r="E17" s="931">
        <f>Table_Default__XLS_TAB_1[[#This Row],[M_NQTRI_COUNT]]/Table_Default__XLS_TAB_1[[#This Row],[M_QTRI_TOT_COUNT]]%</f>
        <v>42.640154653410661</v>
      </c>
      <c r="F17" s="934">
        <v>3621</v>
      </c>
      <c r="G17" s="935">
        <v>100</v>
      </c>
      <c r="H17" s="933">
        <v>1115</v>
      </c>
      <c r="I17" s="931">
        <f>Table_Default__XLS_TAB_1[[#This Row],[D_QTRI_COUNT]]/Table_Default__XLS_TAB_1[[#This Row],[D_QTRI_TOT_COUNT]]%</f>
        <v>60.829241680305515</v>
      </c>
      <c r="J17" s="933">
        <v>718</v>
      </c>
      <c r="K17" s="931">
        <f>Table_Default__XLS_TAB_1[[#This Row],[D_NQTRI_COUNT]]/Table_Default__XLS_TAB_1[[#This Row],[D_QTRI_TOT_COUNT]]%</f>
        <v>39.170758319694492</v>
      </c>
      <c r="L17" s="934">
        <v>1833</v>
      </c>
      <c r="M17" s="935">
        <v>100</v>
      </c>
      <c r="N17" s="925">
        <v>2019</v>
      </c>
    </row>
    <row r="18" spans="1:14" s="88" customFormat="1" ht="24.95" customHeight="1" thickBot="1">
      <c r="A18" s="936">
        <v>2020</v>
      </c>
      <c r="B18" s="937">
        <v>2694</v>
      </c>
      <c r="C18" s="938">
        <f>Table_Default__XLS_TAB_1[[#This Row],[M_QTRI_COUNT]]/Table_Default__XLS_TAB_1[[#This Row],[M_QTRI_TOT_COUNT]]%</f>
        <v>63.43301153755592</v>
      </c>
      <c r="D18" s="937">
        <v>1553</v>
      </c>
      <c r="E18" s="938">
        <f>Table_Default__XLS_TAB_1[[#This Row],[M_NQTRI_COUNT]]/Table_Default__XLS_TAB_1[[#This Row],[M_QTRI_TOT_COUNT]]%</f>
        <v>36.56698846244408</v>
      </c>
      <c r="F18" s="939">
        <v>4247</v>
      </c>
      <c r="G18" s="940">
        <v>100</v>
      </c>
      <c r="H18" s="937">
        <v>1144</v>
      </c>
      <c r="I18" s="938">
        <f>Table_Default__XLS_TAB_1[[#This Row],[D_QTRI_COUNT]]/Table_Default__XLS_TAB_1[[#This Row],[D_QTRI_TOT_COUNT]]%</f>
        <v>62.582056892778986</v>
      </c>
      <c r="J18" s="937">
        <v>684</v>
      </c>
      <c r="K18" s="938">
        <f>Table_Default__XLS_TAB_1[[#This Row],[D_NQTRI_COUNT]]/Table_Default__XLS_TAB_1[[#This Row],[D_QTRI_TOT_COUNT]]%</f>
        <v>37.417943107221006</v>
      </c>
      <c r="L18" s="939">
        <v>1828</v>
      </c>
      <c r="M18" s="940">
        <v>100</v>
      </c>
      <c r="N18" s="941">
        <v>2020</v>
      </c>
    </row>
    <row r="19" spans="1:14" ht="23.25" customHeight="1">
      <c r="A19" s="965">
        <v>2021</v>
      </c>
      <c r="B19" s="893">
        <v>2429</v>
      </c>
      <c r="C19" s="894">
        <f>Table_Default__XLS_TAB_1[[#This Row],[M_QTRI_COUNT]]/Table_Default__XLS_TAB_1[[#This Row],[M_QTRI_TOT_COUNT]]%</f>
        <v>55.330296127562647</v>
      </c>
      <c r="D19" s="893">
        <v>1961</v>
      </c>
      <c r="E19" s="894">
        <f>Table_Default__XLS_TAB_1[[#This Row],[M_NQTRI_COUNT]]/Table_Default__XLS_TAB_1[[#This Row],[M_QTRI_TOT_COUNT]]%</f>
        <v>44.66970387243736</v>
      </c>
      <c r="F19" s="895">
        <v>4390</v>
      </c>
      <c r="G19" s="896">
        <v>100</v>
      </c>
      <c r="H19" s="893">
        <v>1324</v>
      </c>
      <c r="I19" s="894">
        <f>Table_Default__XLS_TAB_1[[#This Row],[D_QTRI_COUNT]]/Table_Default__XLS_TAB_1[[#This Row],[D_QTRI_TOT_COUNT]]%</f>
        <v>61.840261560018682</v>
      </c>
      <c r="J19" s="893">
        <v>817</v>
      </c>
      <c r="K19" s="894">
        <f>Table_Default__XLS_TAB_1[[#This Row],[D_NQTRI_COUNT]]/Table_Default__XLS_TAB_1[[#This Row],[D_QTRI_TOT_COUNT]]%</f>
        <v>38.159738439981318</v>
      </c>
      <c r="L19" s="895">
        <v>2141</v>
      </c>
      <c r="M19" s="896">
        <v>100</v>
      </c>
      <c r="N19" s="897">
        <v>2021</v>
      </c>
    </row>
    <row r="20" spans="1:14" hidden="1">
      <c r="A20" s="885"/>
      <c r="B20" s="886"/>
      <c r="C20" s="887"/>
      <c r="D20" s="886"/>
      <c r="E20" s="888"/>
      <c r="F20" s="889"/>
      <c r="G20" s="890"/>
      <c r="H20" s="886"/>
      <c r="I20" s="887"/>
      <c r="J20" s="886"/>
      <c r="K20" s="887"/>
      <c r="L20" s="889"/>
      <c r="M20" s="891"/>
      <c r="N20" s="892"/>
    </row>
    <row r="21" spans="1:14" s="12" customFormat="1" ht="39.75" customHeight="1">
      <c r="A21" s="1039" t="s">
        <v>1322</v>
      </c>
      <c r="B21" s="1039"/>
      <c r="C21" s="1039"/>
      <c r="D21" s="1039"/>
      <c r="E21" s="1039"/>
      <c r="F21" s="1039"/>
      <c r="G21" s="1039"/>
      <c r="H21" s="1040" t="s">
        <v>1323</v>
      </c>
      <c r="I21" s="1040"/>
      <c r="J21" s="1040"/>
      <c r="K21" s="1040"/>
      <c r="L21" s="1040"/>
      <c r="M21" s="1040"/>
      <c r="N21" s="1040"/>
    </row>
    <row r="22" spans="1:14" ht="105.75">
      <c r="A22" s="122" t="s">
        <v>1027</v>
      </c>
      <c r="B22" s="122" t="s">
        <v>1028</v>
      </c>
      <c r="C22" s="122" t="s">
        <v>1029</v>
      </c>
      <c r="D22" s="122" t="s">
        <v>1030</v>
      </c>
      <c r="E22" s="122"/>
    </row>
    <row r="23" spans="1:14" ht="15">
      <c r="A23" s="1006">
        <f>J10</f>
        <v>585</v>
      </c>
      <c r="B23" s="1006">
        <f>H10</f>
        <v>835</v>
      </c>
      <c r="C23" s="1006">
        <f>D10</f>
        <v>1479</v>
      </c>
      <c r="D23" s="1006">
        <f>B10</f>
        <v>2053</v>
      </c>
      <c r="E23">
        <f>N10</f>
        <v>2012</v>
      </c>
      <c r="G23" s="1"/>
      <c r="I23" s="1"/>
      <c r="K23" s="1"/>
      <c r="M23" s="1"/>
    </row>
    <row r="24" spans="1:14" ht="15">
      <c r="A24">
        <f t="shared" ref="A24:A31" si="0">J11</f>
        <v>509</v>
      </c>
      <c r="B24">
        <f t="shared" ref="B24:B31" si="1">H11</f>
        <v>816</v>
      </c>
      <c r="C24">
        <f t="shared" ref="C24:C31" si="2">D11</f>
        <v>1547</v>
      </c>
      <c r="D24">
        <f t="shared" ref="D24:D31" si="3">B11</f>
        <v>2072</v>
      </c>
      <c r="E24">
        <f t="shared" ref="E24:E31" si="4">N11</f>
        <v>2013</v>
      </c>
      <c r="G24" s="1"/>
      <c r="I24" s="1"/>
      <c r="K24" s="1"/>
      <c r="M24" s="1"/>
    </row>
    <row r="25" spans="1:14" ht="15">
      <c r="A25">
        <f t="shared" si="0"/>
        <v>512</v>
      </c>
      <c r="B25">
        <f t="shared" si="1"/>
        <v>803</v>
      </c>
      <c r="C25">
        <f t="shared" si="2"/>
        <v>1598</v>
      </c>
      <c r="D25">
        <f t="shared" si="3"/>
        <v>2076</v>
      </c>
      <c r="E25">
        <f t="shared" si="4"/>
        <v>2014</v>
      </c>
      <c r="G25" s="1"/>
      <c r="I25" s="1"/>
      <c r="K25" s="1"/>
      <c r="M25" s="1"/>
    </row>
    <row r="26" spans="1:14" ht="15">
      <c r="A26">
        <f t="shared" si="0"/>
        <v>500</v>
      </c>
      <c r="B26">
        <f t="shared" si="1"/>
        <v>807</v>
      </c>
      <c r="C26">
        <f t="shared" si="2"/>
        <v>1655</v>
      </c>
      <c r="D26">
        <f t="shared" si="3"/>
        <v>2069</v>
      </c>
      <c r="E26">
        <f t="shared" si="4"/>
        <v>2015</v>
      </c>
    </row>
    <row r="27" spans="1:14" ht="15">
      <c r="A27">
        <f t="shared" si="0"/>
        <v>421</v>
      </c>
      <c r="B27">
        <f t="shared" si="1"/>
        <v>730</v>
      </c>
      <c r="C27">
        <f t="shared" si="2"/>
        <v>1733</v>
      </c>
      <c r="D27">
        <f t="shared" si="3"/>
        <v>2097</v>
      </c>
      <c r="E27">
        <f t="shared" si="4"/>
        <v>2016</v>
      </c>
    </row>
    <row r="28" spans="1:14" ht="15">
      <c r="A28">
        <f t="shared" si="0"/>
        <v>420</v>
      </c>
      <c r="B28">
        <f t="shared" si="1"/>
        <v>786</v>
      </c>
      <c r="C28">
        <f t="shared" si="2"/>
        <v>1537</v>
      </c>
      <c r="D28">
        <f t="shared" si="3"/>
        <v>2181</v>
      </c>
      <c r="E28">
        <f t="shared" si="4"/>
        <v>2017</v>
      </c>
    </row>
    <row r="29" spans="1:14" ht="15">
      <c r="A29">
        <f t="shared" si="0"/>
        <v>383</v>
      </c>
      <c r="B29">
        <f t="shared" si="1"/>
        <v>799</v>
      </c>
      <c r="C29">
        <f t="shared" si="2"/>
        <v>1574</v>
      </c>
      <c r="D29">
        <f t="shared" si="3"/>
        <v>2184</v>
      </c>
      <c r="E29">
        <f t="shared" si="4"/>
        <v>2018</v>
      </c>
    </row>
    <row r="30" spans="1:14" ht="15">
      <c r="A30">
        <f t="shared" si="0"/>
        <v>718</v>
      </c>
      <c r="B30">
        <f t="shared" si="1"/>
        <v>1115</v>
      </c>
      <c r="C30">
        <f t="shared" si="2"/>
        <v>1544</v>
      </c>
      <c r="D30">
        <f t="shared" si="3"/>
        <v>2077</v>
      </c>
      <c r="E30">
        <f t="shared" si="4"/>
        <v>2019</v>
      </c>
    </row>
    <row r="31" spans="1:14" ht="15">
      <c r="A31">
        <f t="shared" si="0"/>
        <v>684</v>
      </c>
      <c r="B31">
        <f t="shared" si="1"/>
        <v>1144</v>
      </c>
      <c r="C31">
        <f t="shared" si="2"/>
        <v>1553</v>
      </c>
      <c r="D31">
        <f t="shared" si="3"/>
        <v>2694</v>
      </c>
      <c r="E31">
        <f t="shared" si="4"/>
        <v>2020</v>
      </c>
    </row>
    <row r="32" spans="1:14" ht="15">
      <c r="A32">
        <f t="shared" ref="A32" si="5">J19</f>
        <v>817</v>
      </c>
      <c r="B32">
        <f t="shared" ref="B32" si="6">H19</f>
        <v>1324</v>
      </c>
      <c r="C32">
        <f t="shared" ref="C32" si="7">D19</f>
        <v>1961</v>
      </c>
      <c r="D32">
        <f t="shared" ref="D32" si="8">B19</f>
        <v>2429</v>
      </c>
      <c r="E32">
        <f t="shared" ref="E32" si="9">N19</f>
        <v>2021</v>
      </c>
    </row>
  </sheetData>
  <mergeCells count="15">
    <mergeCell ref="A21:G21"/>
    <mergeCell ref="H21:N21"/>
    <mergeCell ref="A1:N1"/>
    <mergeCell ref="J7:K7"/>
    <mergeCell ref="L7:M7"/>
    <mergeCell ref="H6:M6"/>
    <mergeCell ref="B6:G6"/>
    <mergeCell ref="A6:A8"/>
    <mergeCell ref="A2:N2"/>
    <mergeCell ref="A3:N3"/>
    <mergeCell ref="N6:N8"/>
    <mergeCell ref="B7:C7"/>
    <mergeCell ref="D7:E7"/>
    <mergeCell ref="F7:G7"/>
    <mergeCell ref="H7:I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36:N36"/>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6" spans="1:14" ht="23.25" customHeight="1">
      <c r="A36" s="1070" t="s">
        <v>369</v>
      </c>
      <c r="B36" s="1070"/>
      <c r="C36" s="1070"/>
      <c r="D36" s="1070"/>
      <c r="E36" s="1070"/>
      <c r="F36" s="1070"/>
      <c r="G36" s="1070"/>
      <c r="H36" s="1070"/>
      <c r="I36" s="1070"/>
      <c r="J36" s="1070"/>
      <c r="K36" s="1070"/>
      <c r="L36" s="1070"/>
      <c r="M36" s="1070"/>
      <c r="N36" s="1070"/>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S43"/>
  <sheetViews>
    <sheetView rightToLeft="1" view="pageBreakPreview" topLeftCell="A7" zoomScaleNormal="100" zoomScaleSheetLayoutView="100" workbookViewId="0">
      <selection activeCell="M24" sqref="M24"/>
    </sheetView>
  </sheetViews>
  <sheetFormatPr defaultColWidth="9.140625" defaultRowHeight="12.75"/>
  <cols>
    <col min="1" max="1" width="22.85546875" style="1" customWidth="1"/>
    <col min="2" max="12" width="7.42578125" style="1" customWidth="1"/>
    <col min="13" max="13" width="9.85546875" style="1" customWidth="1"/>
    <col min="14" max="14" width="11" style="1" customWidth="1"/>
    <col min="15" max="15" width="21.28515625" style="1" customWidth="1"/>
    <col min="16" max="16384" width="9.140625" style="1"/>
  </cols>
  <sheetData>
    <row r="1" spans="1:19" s="2" customFormat="1" ht="21.75" customHeight="1">
      <c r="A1" s="1041" t="s">
        <v>371</v>
      </c>
      <c r="B1" s="1041"/>
      <c r="C1" s="1041"/>
      <c r="D1" s="1041"/>
      <c r="E1" s="1041"/>
      <c r="F1" s="1041"/>
      <c r="G1" s="1041"/>
      <c r="H1" s="1041"/>
      <c r="I1" s="1041"/>
      <c r="J1" s="1041"/>
      <c r="K1" s="1041"/>
      <c r="L1" s="1041"/>
      <c r="M1" s="1041"/>
      <c r="N1" s="1041"/>
      <c r="O1" s="1041"/>
    </row>
    <row r="2" spans="1:19" s="2" customFormat="1" ht="15.75" customHeight="1">
      <c r="A2" s="1068" t="s">
        <v>525</v>
      </c>
      <c r="B2" s="1068"/>
      <c r="C2" s="1068"/>
      <c r="D2" s="1068"/>
      <c r="E2" s="1068"/>
      <c r="F2" s="1068"/>
      <c r="G2" s="1068"/>
      <c r="H2" s="1068"/>
      <c r="I2" s="1068"/>
      <c r="J2" s="1068"/>
      <c r="K2" s="1068"/>
      <c r="L2" s="1068"/>
      <c r="M2" s="1068"/>
      <c r="N2" s="1068"/>
      <c r="O2" s="1068"/>
    </row>
    <row r="3" spans="1:19" s="2" customFormat="1" ht="18" customHeight="1">
      <c r="A3" s="1069">
        <v>2021</v>
      </c>
      <c r="B3" s="1069"/>
      <c r="C3" s="1069"/>
      <c r="D3" s="1069"/>
      <c r="E3" s="1069"/>
      <c r="F3" s="1069"/>
      <c r="G3" s="1069"/>
      <c r="H3" s="1069"/>
      <c r="I3" s="1069"/>
      <c r="J3" s="1069"/>
      <c r="K3" s="1069"/>
      <c r="L3" s="1069"/>
      <c r="M3" s="1069"/>
      <c r="N3" s="1069"/>
      <c r="O3" s="1069"/>
      <c r="P3" s="54"/>
      <c r="Q3" s="54"/>
      <c r="R3" s="54"/>
      <c r="S3" s="54"/>
    </row>
    <row r="4" spans="1:19" s="2" customFormat="1" ht="15.75">
      <c r="A4" s="1069" t="s">
        <v>52</v>
      </c>
      <c r="B4" s="1069"/>
      <c r="C4" s="1069"/>
      <c r="D4" s="1069"/>
      <c r="E4" s="1069"/>
      <c r="F4" s="1069"/>
      <c r="G4" s="1069"/>
      <c r="H4" s="1069"/>
      <c r="I4" s="1069"/>
      <c r="J4" s="1069"/>
      <c r="K4" s="1069"/>
      <c r="L4" s="1069"/>
      <c r="M4" s="1069"/>
      <c r="N4" s="1069"/>
      <c r="O4" s="1069"/>
    </row>
    <row r="5" spans="1:19" s="2" customFormat="1" ht="15.75">
      <c r="A5" s="362"/>
      <c r="B5" s="362"/>
      <c r="C5" s="362"/>
      <c r="D5" s="362"/>
      <c r="E5" s="362"/>
      <c r="F5" s="362"/>
      <c r="G5" s="362"/>
      <c r="H5" s="362"/>
      <c r="I5" s="362"/>
      <c r="J5" s="362"/>
      <c r="K5" s="362"/>
      <c r="L5" s="362"/>
      <c r="M5" s="362"/>
      <c r="N5" s="362"/>
      <c r="O5" s="362"/>
    </row>
    <row r="6" spans="1:19" ht="15.75">
      <c r="A6" s="374" t="s">
        <v>467</v>
      </c>
      <c r="B6" s="378"/>
      <c r="C6" s="378"/>
      <c r="D6" s="378"/>
      <c r="E6" s="378"/>
      <c r="F6" s="378"/>
      <c r="G6" s="378"/>
      <c r="H6" s="378"/>
      <c r="I6" s="378"/>
      <c r="J6" s="378"/>
      <c r="K6" s="378"/>
      <c r="L6" s="378"/>
      <c r="M6" s="378"/>
      <c r="N6" s="378"/>
      <c r="O6" s="376" t="s">
        <v>468</v>
      </c>
    </row>
    <row r="7" spans="1:19" ht="26.25" customHeight="1" thickBot="1">
      <c r="A7" s="1131" t="s">
        <v>141</v>
      </c>
      <c r="B7" s="1119" t="s">
        <v>135</v>
      </c>
      <c r="C7" s="1211"/>
      <c r="D7" s="1211"/>
      <c r="E7" s="1211"/>
      <c r="F7" s="1211"/>
      <c r="G7" s="1211"/>
      <c r="H7" s="1211"/>
      <c r="I7" s="1211"/>
      <c r="J7" s="1211"/>
      <c r="K7" s="1211"/>
      <c r="L7" s="1211"/>
      <c r="M7" s="1211"/>
      <c r="N7" s="1146" t="s">
        <v>650</v>
      </c>
      <c r="O7" s="1138" t="s">
        <v>1075</v>
      </c>
    </row>
    <row r="8" spans="1:19" ht="47.25" customHeight="1">
      <c r="A8" s="1132"/>
      <c r="B8" s="778">
        <v>-20</v>
      </c>
      <c r="C8" s="778" t="s">
        <v>127</v>
      </c>
      <c r="D8" s="778" t="s">
        <v>126</v>
      </c>
      <c r="E8" s="778" t="s">
        <v>125</v>
      </c>
      <c r="F8" s="778" t="s">
        <v>124</v>
      </c>
      <c r="G8" s="778" t="s">
        <v>123</v>
      </c>
      <c r="H8" s="778" t="s">
        <v>122</v>
      </c>
      <c r="I8" s="778" t="s">
        <v>121</v>
      </c>
      <c r="J8" s="778" t="s">
        <v>120</v>
      </c>
      <c r="K8" s="778" t="s">
        <v>132</v>
      </c>
      <c r="L8" s="332" t="s">
        <v>646</v>
      </c>
      <c r="M8" s="329" t="s">
        <v>595</v>
      </c>
      <c r="N8" s="1171"/>
      <c r="O8" s="1139"/>
    </row>
    <row r="9" spans="1:19" s="112" customFormat="1" ht="18" customHeight="1" thickBot="1">
      <c r="A9" s="864" t="s">
        <v>426</v>
      </c>
      <c r="B9" s="272">
        <v>0</v>
      </c>
      <c r="C9" s="272">
        <v>0</v>
      </c>
      <c r="D9" s="272">
        <v>0</v>
      </c>
      <c r="E9" s="272">
        <v>0</v>
      </c>
      <c r="F9" s="272">
        <v>0</v>
      </c>
      <c r="G9" s="272">
        <v>0</v>
      </c>
      <c r="H9" s="272">
        <v>0</v>
      </c>
      <c r="I9" s="272">
        <v>0</v>
      </c>
      <c r="J9" s="272">
        <v>0</v>
      </c>
      <c r="K9" s="272">
        <v>0</v>
      </c>
      <c r="L9" s="272">
        <v>0</v>
      </c>
      <c r="M9" s="472">
        <v>0</v>
      </c>
      <c r="N9" s="270">
        <f>M9/$M$23%</f>
        <v>0</v>
      </c>
      <c r="O9" s="866" t="s">
        <v>426</v>
      </c>
    </row>
    <row r="10" spans="1:19" ht="18" customHeight="1" thickBot="1">
      <c r="A10" s="849" t="s">
        <v>127</v>
      </c>
      <c r="B10" s="273">
        <v>0</v>
      </c>
      <c r="C10" s="273">
        <v>0</v>
      </c>
      <c r="D10" s="273">
        <v>0</v>
      </c>
      <c r="E10" s="273">
        <v>0</v>
      </c>
      <c r="F10" s="273">
        <v>0</v>
      </c>
      <c r="G10" s="273">
        <v>0</v>
      </c>
      <c r="H10" s="273">
        <v>0</v>
      </c>
      <c r="I10" s="273">
        <v>0</v>
      </c>
      <c r="J10" s="273">
        <v>0</v>
      </c>
      <c r="K10" s="273">
        <v>0</v>
      </c>
      <c r="L10" s="273">
        <v>0</v>
      </c>
      <c r="M10" s="483">
        <v>0</v>
      </c>
      <c r="N10" s="8">
        <f t="shared" ref="N10:N22" si="0">M10/$M$23%</f>
        <v>0</v>
      </c>
      <c r="O10" s="851" t="s">
        <v>127</v>
      </c>
    </row>
    <row r="11" spans="1:19" ht="18" customHeight="1" thickBot="1">
      <c r="A11" s="813" t="s">
        <v>126</v>
      </c>
      <c r="B11" s="274">
        <v>0</v>
      </c>
      <c r="C11" s="274">
        <v>2</v>
      </c>
      <c r="D11" s="274">
        <v>8</v>
      </c>
      <c r="E11" s="274">
        <v>0</v>
      </c>
      <c r="F11" s="274">
        <v>0</v>
      </c>
      <c r="G11" s="274">
        <v>0</v>
      </c>
      <c r="H11" s="274">
        <v>0</v>
      </c>
      <c r="I11" s="274">
        <v>0</v>
      </c>
      <c r="J11" s="274">
        <v>0</v>
      </c>
      <c r="K11" s="274">
        <v>0</v>
      </c>
      <c r="L11" s="274">
        <v>0</v>
      </c>
      <c r="M11" s="484">
        <v>10</v>
      </c>
      <c r="N11" s="271">
        <f t="shared" si="0"/>
        <v>8.064516129032258</v>
      </c>
      <c r="O11" s="809" t="s">
        <v>126</v>
      </c>
    </row>
    <row r="12" spans="1:19" ht="18" customHeight="1" thickBot="1">
      <c r="A12" s="849" t="s">
        <v>125</v>
      </c>
      <c r="B12" s="273">
        <v>0</v>
      </c>
      <c r="C12" s="273">
        <v>1</v>
      </c>
      <c r="D12" s="273">
        <v>5</v>
      </c>
      <c r="E12" s="273">
        <v>10</v>
      </c>
      <c r="F12" s="273">
        <v>0</v>
      </c>
      <c r="G12" s="273">
        <v>0</v>
      </c>
      <c r="H12" s="273">
        <v>0</v>
      </c>
      <c r="I12" s="273">
        <v>0</v>
      </c>
      <c r="J12" s="273">
        <v>0</v>
      </c>
      <c r="K12" s="273">
        <v>0</v>
      </c>
      <c r="L12" s="273">
        <v>0</v>
      </c>
      <c r="M12" s="483">
        <v>16</v>
      </c>
      <c r="N12" s="8">
        <f t="shared" si="0"/>
        <v>12.903225806451614</v>
      </c>
      <c r="O12" s="851" t="s">
        <v>125</v>
      </c>
    </row>
    <row r="13" spans="1:19" ht="18" customHeight="1" thickBot="1">
      <c r="A13" s="813" t="s">
        <v>124</v>
      </c>
      <c r="B13" s="274">
        <v>0</v>
      </c>
      <c r="C13" s="274">
        <v>0</v>
      </c>
      <c r="D13" s="274">
        <v>2</v>
      </c>
      <c r="E13" s="274">
        <v>4</v>
      </c>
      <c r="F13" s="274">
        <v>7</v>
      </c>
      <c r="G13" s="274">
        <v>0</v>
      </c>
      <c r="H13" s="274">
        <v>0</v>
      </c>
      <c r="I13" s="274">
        <v>0</v>
      </c>
      <c r="J13" s="274">
        <v>0</v>
      </c>
      <c r="K13" s="274">
        <v>0</v>
      </c>
      <c r="L13" s="274">
        <v>0</v>
      </c>
      <c r="M13" s="484">
        <v>13</v>
      </c>
      <c r="N13" s="271">
        <f t="shared" si="0"/>
        <v>10.483870967741936</v>
      </c>
      <c r="O13" s="809" t="s">
        <v>124</v>
      </c>
    </row>
    <row r="14" spans="1:19" ht="18" customHeight="1" thickBot="1">
      <c r="A14" s="849" t="s">
        <v>123</v>
      </c>
      <c r="B14" s="273">
        <v>0</v>
      </c>
      <c r="C14" s="273">
        <v>0</v>
      </c>
      <c r="D14" s="273">
        <v>0</v>
      </c>
      <c r="E14" s="273">
        <v>0</v>
      </c>
      <c r="F14" s="273">
        <v>0</v>
      </c>
      <c r="G14" s="273">
        <v>1</v>
      </c>
      <c r="H14" s="273">
        <v>0</v>
      </c>
      <c r="I14" s="273">
        <v>0</v>
      </c>
      <c r="J14" s="273">
        <v>0</v>
      </c>
      <c r="K14" s="273">
        <v>0</v>
      </c>
      <c r="L14" s="273">
        <v>0</v>
      </c>
      <c r="M14" s="483">
        <v>1</v>
      </c>
      <c r="N14" s="8">
        <f t="shared" si="0"/>
        <v>0.80645161290322587</v>
      </c>
      <c r="O14" s="851" t="s">
        <v>123</v>
      </c>
    </row>
    <row r="15" spans="1:19" ht="18" customHeight="1" thickBot="1">
      <c r="A15" s="813" t="s">
        <v>122</v>
      </c>
      <c r="B15" s="274">
        <v>0</v>
      </c>
      <c r="C15" s="274">
        <v>0</v>
      </c>
      <c r="D15" s="274">
        <v>0</v>
      </c>
      <c r="E15" s="274">
        <v>0</v>
      </c>
      <c r="F15" s="274">
        <v>23</v>
      </c>
      <c r="G15" s="274">
        <v>7</v>
      </c>
      <c r="H15" s="274">
        <v>7</v>
      </c>
      <c r="I15" s="274">
        <v>5</v>
      </c>
      <c r="J15" s="274">
        <v>0</v>
      </c>
      <c r="K15" s="274">
        <v>0</v>
      </c>
      <c r="L15" s="274">
        <v>0</v>
      </c>
      <c r="M15" s="484">
        <v>42</v>
      </c>
      <c r="N15" s="271">
        <f>M15/$M$23%</f>
        <v>33.870967741935488</v>
      </c>
      <c r="O15" s="809" t="s">
        <v>122</v>
      </c>
    </row>
    <row r="16" spans="1:19" ht="18" customHeight="1" thickBot="1">
      <c r="A16" s="849" t="s">
        <v>121</v>
      </c>
      <c r="B16" s="273">
        <v>0</v>
      </c>
      <c r="C16" s="273">
        <v>0</v>
      </c>
      <c r="D16" s="273">
        <v>0</v>
      </c>
      <c r="E16" s="273">
        <v>0</v>
      </c>
      <c r="F16" s="273">
        <v>0</v>
      </c>
      <c r="G16" s="273">
        <v>0</v>
      </c>
      <c r="H16" s="273">
        <v>7</v>
      </c>
      <c r="I16" s="273">
        <v>4</v>
      </c>
      <c r="J16" s="273">
        <v>0</v>
      </c>
      <c r="K16" s="273">
        <v>10</v>
      </c>
      <c r="L16" s="273">
        <v>0</v>
      </c>
      <c r="M16" s="483">
        <v>21</v>
      </c>
      <c r="N16" s="8">
        <f t="shared" si="0"/>
        <v>16.935483870967744</v>
      </c>
      <c r="O16" s="851" t="s">
        <v>121</v>
      </c>
    </row>
    <row r="17" spans="1:15" ht="18" customHeight="1" thickBot="1">
      <c r="A17" s="813" t="s">
        <v>120</v>
      </c>
      <c r="B17" s="274">
        <v>0</v>
      </c>
      <c r="C17" s="274">
        <v>0</v>
      </c>
      <c r="D17" s="274">
        <v>0</v>
      </c>
      <c r="E17" s="274">
        <v>0</v>
      </c>
      <c r="F17" s="274">
        <v>0</v>
      </c>
      <c r="G17" s="274">
        <v>0</v>
      </c>
      <c r="H17" s="274">
        <v>6</v>
      </c>
      <c r="I17" s="274">
        <v>0</v>
      </c>
      <c r="J17" s="274">
        <v>0</v>
      </c>
      <c r="K17" s="274">
        <v>0</v>
      </c>
      <c r="L17" s="274">
        <v>0</v>
      </c>
      <c r="M17" s="484">
        <v>6</v>
      </c>
      <c r="N17" s="271">
        <f t="shared" si="0"/>
        <v>4.838709677419355</v>
      </c>
      <c r="O17" s="809" t="s">
        <v>120</v>
      </c>
    </row>
    <row r="18" spans="1:15" ht="18" customHeight="1" thickBot="1">
      <c r="A18" s="849" t="s">
        <v>119</v>
      </c>
      <c r="B18" s="273">
        <v>0</v>
      </c>
      <c r="C18" s="273">
        <v>0</v>
      </c>
      <c r="D18" s="273">
        <v>0</v>
      </c>
      <c r="E18" s="273">
        <v>0</v>
      </c>
      <c r="F18" s="273">
        <v>0</v>
      </c>
      <c r="G18" s="273">
        <v>0</v>
      </c>
      <c r="H18" s="273">
        <v>0</v>
      </c>
      <c r="I18" s="273">
        <v>0</v>
      </c>
      <c r="J18" s="273">
        <v>9</v>
      </c>
      <c r="K18" s="273">
        <v>0</v>
      </c>
      <c r="L18" s="273">
        <v>0</v>
      </c>
      <c r="M18" s="483">
        <v>9</v>
      </c>
      <c r="N18" s="8">
        <f t="shared" si="0"/>
        <v>7.258064516129032</v>
      </c>
      <c r="O18" s="851" t="s">
        <v>119</v>
      </c>
    </row>
    <row r="19" spans="1:15" ht="18" customHeight="1" thickBot="1">
      <c r="A19" s="813" t="s">
        <v>118</v>
      </c>
      <c r="B19" s="274">
        <v>0</v>
      </c>
      <c r="C19" s="274">
        <v>0</v>
      </c>
      <c r="D19" s="274">
        <v>0</v>
      </c>
      <c r="E19" s="274">
        <v>0</v>
      </c>
      <c r="F19" s="274">
        <v>0</v>
      </c>
      <c r="G19" s="274">
        <v>0</v>
      </c>
      <c r="H19" s="274">
        <v>0</v>
      </c>
      <c r="I19" s="274">
        <v>0</v>
      </c>
      <c r="J19" s="274">
        <v>0</v>
      </c>
      <c r="K19" s="274">
        <v>0</v>
      </c>
      <c r="L19" s="274">
        <v>0</v>
      </c>
      <c r="M19" s="484">
        <v>0</v>
      </c>
      <c r="N19" s="271">
        <f t="shared" si="0"/>
        <v>0</v>
      </c>
      <c r="O19" s="809" t="s">
        <v>118</v>
      </c>
    </row>
    <row r="20" spans="1:15" ht="18" customHeight="1" thickBot="1">
      <c r="A20" s="849" t="s">
        <v>117</v>
      </c>
      <c r="B20" s="273">
        <v>0</v>
      </c>
      <c r="C20" s="273">
        <v>0</v>
      </c>
      <c r="D20" s="273">
        <v>0</v>
      </c>
      <c r="E20" s="273">
        <v>0</v>
      </c>
      <c r="F20" s="273">
        <v>0</v>
      </c>
      <c r="G20" s="273">
        <v>0</v>
      </c>
      <c r="H20" s="273">
        <v>0</v>
      </c>
      <c r="I20" s="273">
        <v>0</v>
      </c>
      <c r="J20" s="273">
        <v>0</v>
      </c>
      <c r="K20" s="273">
        <v>6</v>
      </c>
      <c r="L20" s="273">
        <v>0</v>
      </c>
      <c r="M20" s="483">
        <v>6</v>
      </c>
      <c r="N20" s="8">
        <f t="shared" si="0"/>
        <v>4.838709677419355</v>
      </c>
      <c r="O20" s="851" t="s">
        <v>117</v>
      </c>
    </row>
    <row r="21" spans="1:15" ht="18" customHeight="1" thickBot="1">
      <c r="A21" s="813" t="s">
        <v>116</v>
      </c>
      <c r="B21" s="274">
        <v>0</v>
      </c>
      <c r="C21" s="274">
        <v>0</v>
      </c>
      <c r="D21" s="274">
        <v>0</v>
      </c>
      <c r="E21" s="274">
        <v>0</v>
      </c>
      <c r="F21" s="274">
        <v>0</v>
      </c>
      <c r="G21" s="274">
        <v>0</v>
      </c>
      <c r="H21" s="274">
        <v>0</v>
      </c>
      <c r="I21" s="274">
        <v>0</v>
      </c>
      <c r="J21" s="274">
        <v>0</v>
      </c>
      <c r="K21" s="274">
        <v>0</v>
      </c>
      <c r="L21" s="274">
        <v>0</v>
      </c>
      <c r="M21" s="484">
        <v>0</v>
      </c>
      <c r="N21" s="271">
        <f t="shared" si="0"/>
        <v>0</v>
      </c>
      <c r="O21" s="809" t="s">
        <v>116</v>
      </c>
    </row>
    <row r="22" spans="1:15" ht="18" customHeight="1">
      <c r="A22" s="865" t="s">
        <v>14</v>
      </c>
      <c r="B22" s="275">
        <v>0</v>
      </c>
      <c r="C22" s="275">
        <v>0</v>
      </c>
      <c r="D22" s="275">
        <v>0</v>
      </c>
      <c r="E22" s="275">
        <v>0</v>
      </c>
      <c r="F22" s="275">
        <v>0</v>
      </c>
      <c r="G22" s="275">
        <v>0</v>
      </c>
      <c r="H22" s="275">
        <v>0</v>
      </c>
      <c r="I22" s="275">
        <v>0</v>
      </c>
      <c r="J22" s="275">
        <v>0</v>
      </c>
      <c r="K22" s="275">
        <v>0</v>
      </c>
      <c r="L22" s="275">
        <v>0</v>
      </c>
      <c r="M22" s="485">
        <v>0</v>
      </c>
      <c r="N22" s="57">
        <f t="shared" si="0"/>
        <v>0</v>
      </c>
      <c r="O22" s="867" t="s">
        <v>15</v>
      </c>
    </row>
    <row r="23" spans="1:15" ht="18.75" customHeight="1" thickBot="1">
      <c r="A23" s="267" t="s">
        <v>16</v>
      </c>
      <c r="B23" s="268">
        <f t="shared" ref="B23:L23" si="1">SUM(B9:B22)</f>
        <v>0</v>
      </c>
      <c r="C23" s="268">
        <f t="shared" si="1"/>
        <v>3</v>
      </c>
      <c r="D23" s="268">
        <f t="shared" si="1"/>
        <v>15</v>
      </c>
      <c r="E23" s="268">
        <f t="shared" si="1"/>
        <v>14</v>
      </c>
      <c r="F23" s="268">
        <f t="shared" si="1"/>
        <v>30</v>
      </c>
      <c r="G23" s="268">
        <f t="shared" si="1"/>
        <v>8</v>
      </c>
      <c r="H23" s="268">
        <f t="shared" si="1"/>
        <v>20</v>
      </c>
      <c r="I23" s="268">
        <f t="shared" si="1"/>
        <v>9</v>
      </c>
      <c r="J23" s="268">
        <f t="shared" si="1"/>
        <v>9</v>
      </c>
      <c r="K23" s="268">
        <f t="shared" si="1"/>
        <v>16</v>
      </c>
      <c r="L23" s="268">
        <f t="shared" si="1"/>
        <v>0</v>
      </c>
      <c r="M23" s="268">
        <f>SUM(M9:M22)</f>
        <v>124</v>
      </c>
      <c r="N23" s="270">
        <f t="shared" ref="N23" si="2">SUM(N9:N22)</f>
        <v>100</v>
      </c>
      <c r="O23" s="775" t="s">
        <v>55</v>
      </c>
    </row>
    <row r="24" spans="1:15" ht="18.75" customHeight="1">
      <c r="A24" s="507" t="s">
        <v>370</v>
      </c>
      <c r="B24" s="519">
        <f>B23/$M$23%</f>
        <v>0</v>
      </c>
      <c r="C24" s="519">
        <f t="shared" ref="C24:L24" si="3">C23/$M$23%</f>
        <v>2.4193548387096775</v>
      </c>
      <c r="D24" s="519">
        <f t="shared" si="3"/>
        <v>12.096774193548388</v>
      </c>
      <c r="E24" s="519">
        <f t="shared" si="3"/>
        <v>11.290322580645162</v>
      </c>
      <c r="F24" s="519">
        <f t="shared" si="3"/>
        <v>24.193548387096776</v>
      </c>
      <c r="G24" s="519">
        <f t="shared" si="3"/>
        <v>6.4516129032258069</v>
      </c>
      <c r="H24" s="519">
        <f t="shared" si="3"/>
        <v>16.129032258064516</v>
      </c>
      <c r="I24" s="519">
        <f t="shared" si="3"/>
        <v>7.258064516129032</v>
      </c>
      <c r="J24" s="519">
        <f t="shared" si="3"/>
        <v>7.258064516129032</v>
      </c>
      <c r="K24" s="519">
        <f t="shared" si="3"/>
        <v>12.903225806451614</v>
      </c>
      <c r="L24" s="519">
        <f t="shared" si="3"/>
        <v>0</v>
      </c>
      <c r="M24" s="519">
        <f>SUM(B24:L24)</f>
        <v>100</v>
      </c>
      <c r="N24" s="1227" t="s">
        <v>19</v>
      </c>
      <c r="O24" s="1228"/>
    </row>
    <row r="25" spans="1:15" s="916" customFormat="1" ht="14.25">
      <c r="A25" s="918" t="s">
        <v>570</v>
      </c>
      <c r="O25" s="916" t="s">
        <v>573</v>
      </c>
    </row>
    <row r="31" spans="1:15" ht="217.5" thickBot="1">
      <c r="B31" s="12" t="s">
        <v>565</v>
      </c>
      <c r="C31" s="12" t="s">
        <v>564</v>
      </c>
    </row>
    <row r="32" spans="1:15" ht="15.75" thickBot="1">
      <c r="A32" s="80">
        <v>-20</v>
      </c>
      <c r="B32" s="276">
        <f>B23</f>
        <v>0</v>
      </c>
      <c r="C32" s="1">
        <f>M9</f>
        <v>0</v>
      </c>
    </row>
    <row r="33" spans="1:3" ht="15.75" thickBot="1">
      <c r="A33" s="80" t="s">
        <v>5</v>
      </c>
      <c r="B33" s="1">
        <f>C23</f>
        <v>3</v>
      </c>
      <c r="C33" s="1">
        <f t="shared" ref="C33:C40" si="4">M10</f>
        <v>0</v>
      </c>
    </row>
    <row r="34" spans="1:3" ht="15.75" thickBot="1">
      <c r="A34" s="80" t="s">
        <v>6</v>
      </c>
      <c r="B34" s="1">
        <f>D23</f>
        <v>15</v>
      </c>
      <c r="C34" s="1">
        <f t="shared" si="4"/>
        <v>10</v>
      </c>
    </row>
    <row r="35" spans="1:3" ht="15.75" thickBot="1">
      <c r="A35" s="80" t="s">
        <v>7</v>
      </c>
      <c r="B35" s="1">
        <f>E23</f>
        <v>14</v>
      </c>
      <c r="C35" s="1">
        <f t="shared" si="4"/>
        <v>16</v>
      </c>
    </row>
    <row r="36" spans="1:3" ht="15.75" thickBot="1">
      <c r="A36" s="80" t="s">
        <v>8</v>
      </c>
      <c r="B36" s="1">
        <f>F23</f>
        <v>30</v>
      </c>
      <c r="C36" s="1">
        <f t="shared" si="4"/>
        <v>13</v>
      </c>
    </row>
    <row r="37" spans="1:3" ht="15.75" thickBot="1">
      <c r="A37" s="80" t="s">
        <v>9</v>
      </c>
      <c r="B37" s="1">
        <f>G23</f>
        <v>8</v>
      </c>
      <c r="C37" s="1">
        <f t="shared" si="4"/>
        <v>1</v>
      </c>
    </row>
    <row r="38" spans="1:3" ht="15.75" thickBot="1">
      <c r="A38" s="80" t="s">
        <v>10</v>
      </c>
      <c r="B38" s="1">
        <f>H23</f>
        <v>20</v>
      </c>
      <c r="C38" s="1">
        <f t="shared" si="4"/>
        <v>42</v>
      </c>
    </row>
    <row r="39" spans="1:3" ht="15.75" thickBot="1">
      <c r="A39" s="80" t="s">
        <v>11</v>
      </c>
      <c r="B39" s="1">
        <f>I23</f>
        <v>9</v>
      </c>
      <c r="C39" s="1">
        <f t="shared" si="4"/>
        <v>21</v>
      </c>
    </row>
    <row r="40" spans="1:3" ht="15.75" thickBot="1">
      <c r="A40" s="80" t="s">
        <v>12</v>
      </c>
      <c r="B40" s="1">
        <f>J23</f>
        <v>9</v>
      </c>
      <c r="C40" s="1">
        <f t="shared" si="4"/>
        <v>6</v>
      </c>
    </row>
    <row r="41" spans="1:3" ht="15.75" thickBot="1">
      <c r="A41" s="80" t="s">
        <v>13</v>
      </c>
      <c r="B41" s="276">
        <f>K23</f>
        <v>16</v>
      </c>
      <c r="C41" s="1">
        <f>SUM(M18:M21)</f>
        <v>15</v>
      </c>
    </row>
    <row r="42" spans="1:3" ht="30.75" thickBot="1">
      <c r="A42" s="80" t="s">
        <v>439</v>
      </c>
      <c r="B42" s="276">
        <f>L23</f>
        <v>0</v>
      </c>
      <c r="C42" s="1">
        <f>M22</f>
        <v>0</v>
      </c>
    </row>
    <row r="43" spans="1:3">
      <c r="B43" s="276">
        <f>SUM(B32:B42)</f>
        <v>124</v>
      </c>
      <c r="C43" s="276">
        <f>SUM(C32:C42)</f>
        <v>124</v>
      </c>
    </row>
  </sheetData>
  <mergeCells count="9">
    <mergeCell ref="A1:O1"/>
    <mergeCell ref="A2:O2"/>
    <mergeCell ref="A3:O3"/>
    <mergeCell ref="A4:O4"/>
    <mergeCell ref="N24:O24"/>
    <mergeCell ref="A7:A8"/>
    <mergeCell ref="B7:M7"/>
    <mergeCell ref="O7:O8"/>
    <mergeCell ref="N7:N8"/>
  </mergeCells>
  <printOptions horizontalCentered="1" verticalCentered="1"/>
  <pageMargins left="0" right="0" top="0" bottom="0" header="0" footer="0"/>
  <pageSetup paperSize="9" scale="96" orientation="landscape" r:id="rId1"/>
  <headerFooter alignWithMargins="0"/>
  <drawing r:id="rId2"/>
  <tableParts count="1">
    <tablePart r:id="rId3"/>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37:N37"/>
  <sheetViews>
    <sheetView rightToLeft="1" view="pageBreakPreview" topLeftCell="A4" zoomScaleNormal="100" zoomScaleSheetLayoutView="100" workbookViewId="0">
      <selection activeCell="F22" sqref="F22"/>
    </sheetView>
  </sheetViews>
  <sheetFormatPr defaultColWidth="9.140625" defaultRowHeight="12.75"/>
  <cols>
    <col min="1" max="16384" width="9.140625" style="1"/>
  </cols>
  <sheetData>
    <row r="37" spans="1:14" ht="15.75">
      <c r="A37" s="1070" t="s">
        <v>372</v>
      </c>
      <c r="B37" s="1070"/>
      <c r="C37" s="1070"/>
      <c r="D37" s="1070"/>
      <c r="E37" s="1070"/>
      <c r="F37" s="1070"/>
      <c r="G37" s="1070"/>
      <c r="H37" s="1070"/>
      <c r="I37" s="1070"/>
      <c r="J37" s="1070"/>
      <c r="K37" s="1070"/>
      <c r="L37" s="1070"/>
      <c r="M37" s="1070"/>
      <c r="N37" s="1070"/>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R43"/>
  <sheetViews>
    <sheetView rightToLeft="1" view="pageBreakPreview" topLeftCell="A7" zoomScaleNormal="100" zoomScaleSheetLayoutView="100" workbookViewId="0">
      <selection activeCell="M24" sqref="M24"/>
    </sheetView>
  </sheetViews>
  <sheetFormatPr defaultColWidth="9.140625" defaultRowHeight="12.75"/>
  <cols>
    <col min="1" max="1" width="22.85546875" style="1" customWidth="1"/>
    <col min="2" max="2" width="7" style="1" customWidth="1"/>
    <col min="3" max="3" width="8.140625" style="1" customWidth="1"/>
    <col min="4" max="9" width="7.42578125" style="1" bestFit="1" customWidth="1"/>
    <col min="10" max="10" width="7.7109375" style="1" customWidth="1"/>
    <col min="11" max="11" width="7.42578125" style="1" bestFit="1" customWidth="1"/>
    <col min="12" max="12" width="11.7109375" style="1" customWidth="1"/>
    <col min="13" max="13" width="7.85546875" style="1" customWidth="1"/>
    <col min="14" max="14" width="11.7109375" style="1" customWidth="1"/>
    <col min="15" max="15" width="21.28515625" style="1" customWidth="1"/>
    <col min="16" max="16384" width="9.140625" style="1"/>
  </cols>
  <sheetData>
    <row r="1" spans="1:18" s="2" customFormat="1" ht="21.75" customHeight="1">
      <c r="A1" s="1041" t="s">
        <v>371</v>
      </c>
      <c r="B1" s="1041"/>
      <c r="C1" s="1041"/>
      <c r="D1" s="1041"/>
      <c r="E1" s="1041"/>
      <c r="F1" s="1041"/>
      <c r="G1" s="1041"/>
      <c r="H1" s="1041"/>
      <c r="I1" s="1041"/>
      <c r="J1" s="1041"/>
      <c r="K1" s="1041"/>
      <c r="L1" s="1041"/>
      <c r="M1" s="1041"/>
      <c r="N1" s="1041"/>
      <c r="O1" s="1041"/>
    </row>
    <row r="2" spans="1:18" s="2" customFormat="1" ht="15.75" customHeight="1">
      <c r="A2" s="1068" t="s">
        <v>525</v>
      </c>
      <c r="B2" s="1068"/>
      <c r="C2" s="1068"/>
      <c r="D2" s="1068"/>
      <c r="E2" s="1068"/>
      <c r="F2" s="1068"/>
      <c r="G2" s="1068"/>
      <c r="H2" s="1068"/>
      <c r="I2" s="1068"/>
      <c r="J2" s="1068"/>
      <c r="K2" s="1068"/>
      <c r="L2" s="1068"/>
      <c r="M2" s="1068"/>
      <c r="N2" s="1068"/>
      <c r="O2" s="1068"/>
    </row>
    <row r="3" spans="1:18" s="2" customFormat="1" ht="18" customHeight="1">
      <c r="A3" s="1069">
        <v>2021</v>
      </c>
      <c r="B3" s="1069"/>
      <c r="C3" s="1069"/>
      <c r="D3" s="1069"/>
      <c r="E3" s="1069"/>
      <c r="F3" s="1069"/>
      <c r="G3" s="1069"/>
      <c r="H3" s="1069"/>
      <c r="I3" s="1069"/>
      <c r="J3" s="1069"/>
      <c r="K3" s="1069"/>
      <c r="L3" s="1069"/>
      <c r="M3" s="1069"/>
      <c r="N3" s="1069"/>
      <c r="O3" s="1069"/>
      <c r="P3" s="54"/>
      <c r="Q3" s="54"/>
      <c r="R3" s="54"/>
    </row>
    <row r="4" spans="1:18" s="2" customFormat="1" ht="15.75">
      <c r="A4" s="1069" t="s">
        <v>51</v>
      </c>
      <c r="B4" s="1069"/>
      <c r="C4" s="1069"/>
      <c r="D4" s="1069"/>
      <c r="E4" s="1069"/>
      <c r="F4" s="1069"/>
      <c r="G4" s="1069"/>
      <c r="H4" s="1069"/>
      <c r="I4" s="1069"/>
      <c r="J4" s="1069"/>
      <c r="K4" s="1069"/>
      <c r="L4" s="1069"/>
      <c r="M4" s="1069"/>
      <c r="N4" s="1069"/>
      <c r="O4" s="1069"/>
    </row>
    <row r="5" spans="1:18" s="2" customFormat="1" ht="15.75">
      <c r="A5" s="362"/>
      <c r="B5" s="362"/>
      <c r="C5" s="362"/>
      <c r="D5" s="362"/>
      <c r="E5" s="362"/>
      <c r="F5" s="362"/>
      <c r="G5" s="362"/>
      <c r="H5" s="362"/>
      <c r="I5" s="362"/>
      <c r="J5" s="362"/>
      <c r="K5" s="362"/>
      <c r="L5" s="362"/>
      <c r="M5" s="362"/>
      <c r="N5" s="362"/>
      <c r="O5" s="362"/>
    </row>
    <row r="6" spans="1:18" ht="15.75">
      <c r="A6" s="374" t="s">
        <v>471</v>
      </c>
      <c r="B6" s="378"/>
      <c r="C6" s="378"/>
      <c r="D6" s="378"/>
      <c r="E6" s="378"/>
      <c r="F6" s="378"/>
      <c r="G6" s="378"/>
      <c r="H6" s="378"/>
      <c r="I6" s="378"/>
      <c r="J6" s="378"/>
      <c r="K6" s="378"/>
      <c r="L6" s="378"/>
      <c r="M6" s="378"/>
      <c r="N6" s="378"/>
      <c r="O6" s="376" t="s">
        <v>472</v>
      </c>
    </row>
    <row r="7" spans="1:18" ht="26.25" customHeight="1">
      <c r="A7" s="1219" t="s">
        <v>141</v>
      </c>
      <c r="B7" s="1119" t="s">
        <v>135</v>
      </c>
      <c r="C7" s="1211"/>
      <c r="D7" s="1211"/>
      <c r="E7" s="1211"/>
      <c r="F7" s="1211"/>
      <c r="G7" s="1211"/>
      <c r="H7" s="1211"/>
      <c r="I7" s="1211"/>
      <c r="J7" s="1211"/>
      <c r="K7" s="1211"/>
      <c r="L7" s="1211"/>
      <c r="M7" s="1211"/>
      <c r="N7" s="1229" t="s">
        <v>650</v>
      </c>
      <c r="O7" s="1222" t="s">
        <v>1075</v>
      </c>
    </row>
    <row r="8" spans="1:18" ht="47.25" customHeight="1">
      <c r="A8" s="1220"/>
      <c r="B8" s="778">
        <v>-20</v>
      </c>
      <c r="C8" s="778" t="s">
        <v>127</v>
      </c>
      <c r="D8" s="778" t="s">
        <v>126</v>
      </c>
      <c r="E8" s="778" t="s">
        <v>125</v>
      </c>
      <c r="F8" s="778" t="s">
        <v>124</v>
      </c>
      <c r="G8" s="778" t="s">
        <v>123</v>
      </c>
      <c r="H8" s="778" t="s">
        <v>122</v>
      </c>
      <c r="I8" s="778" t="s">
        <v>121</v>
      </c>
      <c r="J8" s="778" t="s">
        <v>120</v>
      </c>
      <c r="K8" s="778" t="s">
        <v>132</v>
      </c>
      <c r="L8" s="332" t="s">
        <v>646</v>
      </c>
      <c r="M8" s="329" t="s">
        <v>595</v>
      </c>
      <c r="N8" s="1230"/>
      <c r="O8" s="1223"/>
    </row>
    <row r="9" spans="1:18" ht="18" customHeight="1" thickBot="1">
      <c r="A9" s="864" t="s">
        <v>426</v>
      </c>
      <c r="B9" s="284">
        <v>0</v>
      </c>
      <c r="C9" s="284">
        <v>0</v>
      </c>
      <c r="D9" s="284">
        <v>0</v>
      </c>
      <c r="E9" s="284">
        <v>0</v>
      </c>
      <c r="F9" s="284">
        <v>0</v>
      </c>
      <c r="G9" s="284">
        <v>0</v>
      </c>
      <c r="H9" s="284">
        <v>0</v>
      </c>
      <c r="I9" s="284">
        <v>0</v>
      </c>
      <c r="J9" s="284">
        <v>0</v>
      </c>
      <c r="K9" s="284">
        <v>0</v>
      </c>
      <c r="L9" s="284">
        <v>0</v>
      </c>
      <c r="M9" s="486">
        <v>0</v>
      </c>
      <c r="N9" s="270">
        <f>M9/$M$23%</f>
        <v>0</v>
      </c>
      <c r="O9" s="866" t="s">
        <v>426</v>
      </c>
    </row>
    <row r="10" spans="1:18" ht="18" customHeight="1" thickBot="1">
      <c r="A10" s="849" t="s">
        <v>127</v>
      </c>
      <c r="B10" s="281">
        <v>0</v>
      </c>
      <c r="C10" s="281">
        <v>0</v>
      </c>
      <c r="D10" s="281">
        <v>0</v>
      </c>
      <c r="E10" s="281">
        <v>0</v>
      </c>
      <c r="F10" s="281">
        <v>0</v>
      </c>
      <c r="G10" s="281">
        <v>0</v>
      </c>
      <c r="H10" s="281">
        <v>0</v>
      </c>
      <c r="I10" s="281">
        <v>0</v>
      </c>
      <c r="J10" s="281">
        <v>0</v>
      </c>
      <c r="K10" s="281">
        <v>0</v>
      </c>
      <c r="L10" s="281">
        <v>0</v>
      </c>
      <c r="M10" s="487">
        <v>0</v>
      </c>
      <c r="N10" s="8">
        <f t="shared" ref="N10:N22" si="0">M10/$M$23%</f>
        <v>0</v>
      </c>
      <c r="O10" s="851" t="s">
        <v>127</v>
      </c>
    </row>
    <row r="11" spans="1:18" ht="18" customHeight="1" thickBot="1">
      <c r="A11" s="813" t="s">
        <v>126</v>
      </c>
      <c r="B11" s="282">
        <v>0</v>
      </c>
      <c r="C11" s="282">
        <v>0</v>
      </c>
      <c r="D11" s="282">
        <v>0</v>
      </c>
      <c r="E11" s="282">
        <v>0</v>
      </c>
      <c r="F11" s="282">
        <v>0</v>
      </c>
      <c r="G11" s="282">
        <v>0</v>
      </c>
      <c r="H11" s="282">
        <v>0</v>
      </c>
      <c r="I11" s="282">
        <v>0</v>
      </c>
      <c r="J11" s="282">
        <v>0</v>
      </c>
      <c r="K11" s="282">
        <v>0</v>
      </c>
      <c r="L11" s="282">
        <v>0</v>
      </c>
      <c r="M11" s="488">
        <v>0</v>
      </c>
      <c r="N11" s="271">
        <f t="shared" si="0"/>
        <v>0</v>
      </c>
      <c r="O11" s="809" t="s">
        <v>126</v>
      </c>
    </row>
    <row r="12" spans="1:18" ht="18" customHeight="1" thickBot="1">
      <c r="A12" s="849" t="s">
        <v>125</v>
      </c>
      <c r="B12" s="281">
        <v>0</v>
      </c>
      <c r="C12" s="281">
        <v>1</v>
      </c>
      <c r="D12" s="281">
        <v>1</v>
      </c>
      <c r="E12" s="281">
        <v>0</v>
      </c>
      <c r="F12" s="281">
        <v>0</v>
      </c>
      <c r="G12" s="281">
        <v>0</v>
      </c>
      <c r="H12" s="281">
        <v>0</v>
      </c>
      <c r="I12" s="281">
        <v>0</v>
      </c>
      <c r="J12" s="281">
        <v>0</v>
      </c>
      <c r="K12" s="281">
        <v>0</v>
      </c>
      <c r="L12" s="281">
        <v>0</v>
      </c>
      <c r="M12" s="487">
        <v>2</v>
      </c>
      <c r="N12" s="8">
        <f t="shared" si="0"/>
        <v>5</v>
      </c>
      <c r="O12" s="851" t="s">
        <v>125</v>
      </c>
    </row>
    <row r="13" spans="1:18" ht="18" customHeight="1" thickBot="1">
      <c r="A13" s="813" t="s">
        <v>124</v>
      </c>
      <c r="B13" s="282">
        <v>0</v>
      </c>
      <c r="C13" s="282">
        <v>0</v>
      </c>
      <c r="D13" s="282">
        <v>2</v>
      </c>
      <c r="E13" s="282">
        <v>4</v>
      </c>
      <c r="F13" s="282">
        <v>7</v>
      </c>
      <c r="G13" s="282">
        <v>0</v>
      </c>
      <c r="H13" s="282">
        <v>0</v>
      </c>
      <c r="I13" s="282">
        <v>0</v>
      </c>
      <c r="J13" s="282">
        <v>0</v>
      </c>
      <c r="K13" s="282">
        <v>0</v>
      </c>
      <c r="L13" s="282">
        <v>0</v>
      </c>
      <c r="M13" s="488">
        <v>13</v>
      </c>
      <c r="N13" s="271">
        <f t="shared" si="0"/>
        <v>32.5</v>
      </c>
      <c r="O13" s="809" t="s">
        <v>124</v>
      </c>
    </row>
    <row r="14" spans="1:18" ht="18" customHeight="1" thickBot="1">
      <c r="A14" s="849" t="s">
        <v>123</v>
      </c>
      <c r="B14" s="281">
        <v>0</v>
      </c>
      <c r="C14" s="281">
        <v>0</v>
      </c>
      <c r="D14" s="281">
        <v>1</v>
      </c>
      <c r="E14" s="281">
        <v>0</v>
      </c>
      <c r="F14" s="281">
        <v>3</v>
      </c>
      <c r="G14" s="281">
        <v>2</v>
      </c>
      <c r="H14" s="281">
        <v>0</v>
      </c>
      <c r="I14" s="281">
        <v>0</v>
      </c>
      <c r="J14" s="281">
        <v>0</v>
      </c>
      <c r="K14" s="281">
        <v>0</v>
      </c>
      <c r="L14" s="281">
        <v>0</v>
      </c>
      <c r="M14" s="487">
        <v>6</v>
      </c>
      <c r="N14" s="8">
        <f t="shared" si="0"/>
        <v>15</v>
      </c>
      <c r="O14" s="851" t="s">
        <v>123</v>
      </c>
    </row>
    <row r="15" spans="1:18" ht="18" customHeight="1" thickBot="1">
      <c r="A15" s="813" t="s">
        <v>122</v>
      </c>
      <c r="B15" s="282">
        <v>0</v>
      </c>
      <c r="C15" s="282">
        <v>0</v>
      </c>
      <c r="D15" s="282">
        <v>0</v>
      </c>
      <c r="E15" s="282">
        <v>0</v>
      </c>
      <c r="F15" s="282">
        <v>3</v>
      </c>
      <c r="G15" s="282">
        <v>5</v>
      </c>
      <c r="H15" s="282">
        <v>0</v>
      </c>
      <c r="I15" s="282">
        <v>0</v>
      </c>
      <c r="J15" s="282">
        <v>0</v>
      </c>
      <c r="K15" s="282">
        <v>0</v>
      </c>
      <c r="L15" s="282">
        <v>4</v>
      </c>
      <c r="M15" s="488">
        <v>12</v>
      </c>
      <c r="N15" s="271">
        <f t="shared" si="0"/>
        <v>30</v>
      </c>
      <c r="O15" s="809" t="s">
        <v>122</v>
      </c>
    </row>
    <row r="16" spans="1:18" ht="18" customHeight="1" thickBot="1">
      <c r="A16" s="849" t="s">
        <v>121</v>
      </c>
      <c r="B16" s="281">
        <v>0</v>
      </c>
      <c r="C16" s="281">
        <v>0</v>
      </c>
      <c r="D16" s="281">
        <v>0</v>
      </c>
      <c r="E16" s="281">
        <v>0</v>
      </c>
      <c r="F16" s="281">
        <v>0</v>
      </c>
      <c r="G16" s="281">
        <v>0</v>
      </c>
      <c r="H16" s="281">
        <v>0</v>
      </c>
      <c r="I16" s="281">
        <v>0</v>
      </c>
      <c r="J16" s="281">
        <v>0</v>
      </c>
      <c r="K16" s="281">
        <v>0</v>
      </c>
      <c r="L16" s="281">
        <v>0</v>
      </c>
      <c r="M16" s="487">
        <v>0</v>
      </c>
      <c r="N16" s="8">
        <f t="shared" si="0"/>
        <v>0</v>
      </c>
      <c r="O16" s="851" t="s">
        <v>121</v>
      </c>
    </row>
    <row r="17" spans="1:15" ht="18" customHeight="1" thickBot="1">
      <c r="A17" s="813" t="s">
        <v>120</v>
      </c>
      <c r="B17" s="282">
        <v>0</v>
      </c>
      <c r="C17" s="282">
        <v>0</v>
      </c>
      <c r="D17" s="282">
        <v>0</v>
      </c>
      <c r="E17" s="282">
        <v>0</v>
      </c>
      <c r="F17" s="282">
        <v>0</v>
      </c>
      <c r="G17" s="282">
        <v>0</v>
      </c>
      <c r="H17" s="282">
        <v>0</v>
      </c>
      <c r="I17" s="282">
        <v>0</v>
      </c>
      <c r="J17" s="282">
        <v>3</v>
      </c>
      <c r="K17" s="282">
        <v>0</v>
      </c>
      <c r="L17" s="282">
        <v>0</v>
      </c>
      <c r="M17" s="488">
        <v>3</v>
      </c>
      <c r="N17" s="271">
        <f t="shared" si="0"/>
        <v>7.5</v>
      </c>
      <c r="O17" s="809" t="s">
        <v>120</v>
      </c>
    </row>
    <row r="18" spans="1:15" ht="18" customHeight="1" thickBot="1">
      <c r="A18" s="849" t="s">
        <v>119</v>
      </c>
      <c r="B18" s="281">
        <v>0</v>
      </c>
      <c r="C18" s="281">
        <v>0</v>
      </c>
      <c r="D18" s="281">
        <v>0</v>
      </c>
      <c r="E18" s="281">
        <v>0</v>
      </c>
      <c r="F18" s="281">
        <v>0</v>
      </c>
      <c r="G18" s="281">
        <v>0</v>
      </c>
      <c r="H18" s="281">
        <v>4</v>
      </c>
      <c r="I18" s="281">
        <v>0</v>
      </c>
      <c r="J18" s="281">
        <v>0</v>
      </c>
      <c r="K18" s="281">
        <v>0</v>
      </c>
      <c r="L18" s="281">
        <v>0</v>
      </c>
      <c r="M18" s="487">
        <v>4</v>
      </c>
      <c r="N18" s="8">
        <f t="shared" si="0"/>
        <v>10</v>
      </c>
      <c r="O18" s="851" t="s">
        <v>119</v>
      </c>
    </row>
    <row r="19" spans="1:15" ht="18" customHeight="1" thickBot="1">
      <c r="A19" s="813" t="s">
        <v>118</v>
      </c>
      <c r="B19" s="282">
        <v>0</v>
      </c>
      <c r="C19" s="282">
        <v>0</v>
      </c>
      <c r="D19" s="282">
        <v>0</v>
      </c>
      <c r="E19" s="282">
        <v>0</v>
      </c>
      <c r="F19" s="282">
        <v>0</v>
      </c>
      <c r="G19" s="282">
        <v>0</v>
      </c>
      <c r="H19" s="282">
        <v>0</v>
      </c>
      <c r="I19" s="282">
        <v>0</v>
      </c>
      <c r="J19" s="282">
        <v>0</v>
      </c>
      <c r="K19" s="282">
        <v>0</v>
      </c>
      <c r="L19" s="282">
        <v>0</v>
      </c>
      <c r="M19" s="488">
        <v>0</v>
      </c>
      <c r="N19" s="271">
        <f t="shared" si="0"/>
        <v>0</v>
      </c>
      <c r="O19" s="809" t="s">
        <v>118</v>
      </c>
    </row>
    <row r="20" spans="1:15" ht="18" customHeight="1" thickBot="1">
      <c r="A20" s="849" t="s">
        <v>117</v>
      </c>
      <c r="B20" s="281">
        <v>0</v>
      </c>
      <c r="C20" s="281">
        <v>0</v>
      </c>
      <c r="D20" s="281">
        <v>0</v>
      </c>
      <c r="E20" s="281">
        <v>0</v>
      </c>
      <c r="F20" s="281">
        <v>0</v>
      </c>
      <c r="G20" s="281">
        <v>0</v>
      </c>
      <c r="H20" s="281">
        <v>0</v>
      </c>
      <c r="I20" s="281">
        <v>0</v>
      </c>
      <c r="J20" s="281">
        <v>0</v>
      </c>
      <c r="K20" s="281">
        <v>0</v>
      </c>
      <c r="L20" s="281">
        <v>0</v>
      </c>
      <c r="M20" s="487">
        <v>0</v>
      </c>
      <c r="N20" s="8">
        <f t="shared" si="0"/>
        <v>0</v>
      </c>
      <c r="O20" s="851" t="s">
        <v>117</v>
      </c>
    </row>
    <row r="21" spans="1:15" ht="18" customHeight="1" thickBot="1">
      <c r="A21" s="813" t="s">
        <v>116</v>
      </c>
      <c r="B21" s="282">
        <v>0</v>
      </c>
      <c r="C21" s="282">
        <v>0</v>
      </c>
      <c r="D21" s="282">
        <v>0</v>
      </c>
      <c r="E21" s="282">
        <v>0</v>
      </c>
      <c r="F21" s="282">
        <v>0</v>
      </c>
      <c r="G21" s="282">
        <v>0</v>
      </c>
      <c r="H21" s="282">
        <v>0</v>
      </c>
      <c r="I21" s="282">
        <v>0</v>
      </c>
      <c r="J21" s="282">
        <v>0</v>
      </c>
      <c r="K21" s="282">
        <v>0</v>
      </c>
      <c r="L21" s="282">
        <v>0</v>
      </c>
      <c r="M21" s="488">
        <v>0</v>
      </c>
      <c r="N21" s="271">
        <f t="shared" si="0"/>
        <v>0</v>
      </c>
      <c r="O21" s="809" t="s">
        <v>116</v>
      </c>
    </row>
    <row r="22" spans="1:15" ht="18" customHeight="1">
      <c r="A22" s="865" t="s">
        <v>14</v>
      </c>
      <c r="B22" s="283">
        <v>0</v>
      </c>
      <c r="C22" s="283">
        <v>0</v>
      </c>
      <c r="D22" s="283">
        <v>0</v>
      </c>
      <c r="E22" s="283">
        <v>0</v>
      </c>
      <c r="F22" s="283">
        <v>0</v>
      </c>
      <c r="G22" s="283">
        <v>0</v>
      </c>
      <c r="H22" s="283">
        <v>0</v>
      </c>
      <c r="I22" s="283">
        <v>0</v>
      </c>
      <c r="J22" s="283">
        <v>0</v>
      </c>
      <c r="K22" s="283">
        <v>0</v>
      </c>
      <c r="L22" s="283">
        <v>0</v>
      </c>
      <c r="M22" s="489">
        <v>0</v>
      </c>
      <c r="N22" s="57">
        <f t="shared" si="0"/>
        <v>0</v>
      </c>
      <c r="O22" s="867" t="s">
        <v>15</v>
      </c>
    </row>
    <row r="23" spans="1:15" ht="18.75" customHeight="1" thickBot="1">
      <c r="A23" s="267" t="s">
        <v>16</v>
      </c>
      <c r="B23" s="277">
        <f t="shared" ref="B23:M23" si="1">SUM(B9:B22)</f>
        <v>0</v>
      </c>
      <c r="C23" s="277">
        <f t="shared" si="1"/>
        <v>1</v>
      </c>
      <c r="D23" s="277">
        <f t="shared" si="1"/>
        <v>4</v>
      </c>
      <c r="E23" s="277">
        <f t="shared" si="1"/>
        <v>4</v>
      </c>
      <c r="F23" s="277">
        <f t="shared" si="1"/>
        <v>13</v>
      </c>
      <c r="G23" s="277">
        <f t="shared" si="1"/>
        <v>7</v>
      </c>
      <c r="H23" s="277">
        <f t="shared" si="1"/>
        <v>4</v>
      </c>
      <c r="I23" s="277">
        <f t="shared" si="1"/>
        <v>0</v>
      </c>
      <c r="J23" s="277">
        <f t="shared" si="1"/>
        <v>3</v>
      </c>
      <c r="K23" s="277">
        <f t="shared" si="1"/>
        <v>0</v>
      </c>
      <c r="L23" s="277">
        <f t="shared" si="1"/>
        <v>4</v>
      </c>
      <c r="M23" s="277">
        <f t="shared" si="1"/>
        <v>40</v>
      </c>
      <c r="N23" s="270">
        <f t="shared" ref="N23" si="2">SUM(N9:N22)</f>
        <v>100</v>
      </c>
      <c r="O23" s="269" t="s">
        <v>55</v>
      </c>
    </row>
    <row r="24" spans="1:15" ht="18.75" customHeight="1">
      <c r="A24" s="507" t="s">
        <v>370</v>
      </c>
      <c r="B24" s="519">
        <f t="shared" ref="B24:L24" si="3">B23/$M$23%</f>
        <v>0</v>
      </c>
      <c r="C24" s="519">
        <f t="shared" si="3"/>
        <v>2.5</v>
      </c>
      <c r="D24" s="519">
        <f t="shared" si="3"/>
        <v>10</v>
      </c>
      <c r="E24" s="519">
        <f t="shared" si="3"/>
        <v>10</v>
      </c>
      <c r="F24" s="519">
        <f>F23/$M$23%</f>
        <v>32.5</v>
      </c>
      <c r="G24" s="519">
        <f t="shared" si="3"/>
        <v>17.5</v>
      </c>
      <c r="H24" s="519">
        <f t="shared" si="3"/>
        <v>10</v>
      </c>
      <c r="I24" s="519">
        <f t="shared" si="3"/>
        <v>0</v>
      </c>
      <c r="J24" s="519">
        <f t="shared" si="3"/>
        <v>7.5</v>
      </c>
      <c r="K24" s="519">
        <f t="shared" si="3"/>
        <v>0</v>
      </c>
      <c r="L24" s="519">
        <f t="shared" si="3"/>
        <v>10</v>
      </c>
      <c r="M24" s="519">
        <f>SUM(B24:L24)</f>
        <v>100</v>
      </c>
      <c r="N24" s="1227" t="s">
        <v>19</v>
      </c>
      <c r="O24" s="1228"/>
    </row>
    <row r="25" spans="1:15" s="916" customFormat="1" ht="15.75" customHeight="1">
      <c r="A25" s="918" t="s">
        <v>570</v>
      </c>
      <c r="O25" s="916" t="s">
        <v>688</v>
      </c>
    </row>
    <row r="31" spans="1:15" ht="192" thickBot="1">
      <c r="B31" s="12" t="s">
        <v>565</v>
      </c>
      <c r="C31" s="12" t="s">
        <v>564</v>
      </c>
    </row>
    <row r="32" spans="1:15" ht="15.75" thickBot="1">
      <c r="A32" s="80">
        <v>-20</v>
      </c>
      <c r="B32" s="1">
        <f>B23</f>
        <v>0</v>
      </c>
      <c r="C32" s="1">
        <f>M9</f>
        <v>0</v>
      </c>
    </row>
    <row r="33" spans="1:3" ht="15.75" thickBot="1">
      <c r="A33" s="80" t="s">
        <v>5</v>
      </c>
      <c r="B33" s="1">
        <f>C23</f>
        <v>1</v>
      </c>
      <c r="C33" s="1">
        <f t="shared" ref="C33:C40" si="4">M10</f>
        <v>0</v>
      </c>
    </row>
    <row r="34" spans="1:3" ht="15.75" thickBot="1">
      <c r="A34" s="80" t="s">
        <v>6</v>
      </c>
      <c r="B34" s="1">
        <f>D23</f>
        <v>4</v>
      </c>
      <c r="C34" s="1">
        <f t="shared" si="4"/>
        <v>0</v>
      </c>
    </row>
    <row r="35" spans="1:3" ht="15.75" thickBot="1">
      <c r="A35" s="80" t="s">
        <v>7</v>
      </c>
      <c r="B35" s="1">
        <f>E23</f>
        <v>4</v>
      </c>
      <c r="C35" s="1">
        <f t="shared" si="4"/>
        <v>2</v>
      </c>
    </row>
    <row r="36" spans="1:3" ht="15.75" thickBot="1">
      <c r="A36" s="80" t="s">
        <v>8</v>
      </c>
      <c r="B36" s="1">
        <f>F23</f>
        <v>13</v>
      </c>
      <c r="C36" s="1">
        <f t="shared" si="4"/>
        <v>13</v>
      </c>
    </row>
    <row r="37" spans="1:3" ht="15.75" thickBot="1">
      <c r="A37" s="80" t="s">
        <v>9</v>
      </c>
      <c r="B37" s="1">
        <f>G23</f>
        <v>7</v>
      </c>
      <c r="C37" s="1">
        <f t="shared" si="4"/>
        <v>6</v>
      </c>
    </row>
    <row r="38" spans="1:3" ht="15.75" thickBot="1">
      <c r="A38" s="80" t="s">
        <v>10</v>
      </c>
      <c r="B38" s="1">
        <f>H23</f>
        <v>4</v>
      </c>
      <c r="C38" s="1">
        <f t="shared" si="4"/>
        <v>12</v>
      </c>
    </row>
    <row r="39" spans="1:3" ht="15.75" thickBot="1">
      <c r="A39" s="80" t="s">
        <v>11</v>
      </c>
      <c r="B39" s="1">
        <f>I23</f>
        <v>0</v>
      </c>
      <c r="C39" s="1">
        <f t="shared" si="4"/>
        <v>0</v>
      </c>
    </row>
    <row r="40" spans="1:3" ht="15.75" thickBot="1">
      <c r="A40" s="80" t="s">
        <v>12</v>
      </c>
      <c r="B40" s="1">
        <f>J23</f>
        <v>3</v>
      </c>
      <c r="C40" s="1">
        <f t="shared" si="4"/>
        <v>3</v>
      </c>
    </row>
    <row r="41" spans="1:3" ht="15.75" thickBot="1">
      <c r="A41" s="80" t="s">
        <v>13</v>
      </c>
      <c r="B41" s="1">
        <f>K23</f>
        <v>0</v>
      </c>
      <c r="C41" s="1">
        <f>SUM(M18:M21)</f>
        <v>4</v>
      </c>
    </row>
    <row r="42" spans="1:3" ht="30.75" thickBot="1">
      <c r="A42" s="80" t="s">
        <v>439</v>
      </c>
      <c r="B42" s="276">
        <f>L23</f>
        <v>4</v>
      </c>
      <c r="C42" s="1">
        <f>M22</f>
        <v>0</v>
      </c>
    </row>
    <row r="43" spans="1:3">
      <c r="B43" s="1">
        <f>SUM(B32:B42)</f>
        <v>40</v>
      </c>
      <c r="C43" s="1">
        <f>SUM(C32:C42)</f>
        <v>40</v>
      </c>
    </row>
  </sheetData>
  <mergeCells count="9">
    <mergeCell ref="A1:O1"/>
    <mergeCell ref="A2:O2"/>
    <mergeCell ref="A3:O3"/>
    <mergeCell ref="A4:O4"/>
    <mergeCell ref="N24:O24"/>
    <mergeCell ref="A7:A8"/>
    <mergeCell ref="B7:M7"/>
    <mergeCell ref="O7:O8"/>
    <mergeCell ref="N7:N8"/>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37:N37"/>
  <sheetViews>
    <sheetView rightToLeft="1" view="pageBreakPreview" topLeftCell="A4" zoomScaleNormal="100" zoomScaleSheetLayoutView="100" workbookViewId="0">
      <selection activeCell="F22" sqref="F22"/>
    </sheetView>
  </sheetViews>
  <sheetFormatPr defaultColWidth="9.140625" defaultRowHeight="12.75"/>
  <cols>
    <col min="1" max="16384" width="9.140625" style="1"/>
  </cols>
  <sheetData>
    <row r="37" spans="1:14" ht="15.75">
      <c r="A37" s="1070" t="s">
        <v>373</v>
      </c>
      <c r="B37" s="1070"/>
      <c r="C37" s="1070"/>
      <c r="D37" s="1070"/>
      <c r="E37" s="1070"/>
      <c r="F37" s="1070"/>
      <c r="G37" s="1070"/>
      <c r="H37" s="1070"/>
      <c r="I37" s="1070"/>
      <c r="J37" s="1070"/>
      <c r="K37" s="1070"/>
      <c r="L37" s="1070"/>
      <c r="M37" s="1070"/>
      <c r="N37" s="1070"/>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R43"/>
  <sheetViews>
    <sheetView rightToLeft="1" view="pageBreakPreview" topLeftCell="A4" zoomScaleNormal="100" zoomScaleSheetLayoutView="100" workbookViewId="0">
      <selection activeCell="F31" sqref="F31"/>
    </sheetView>
  </sheetViews>
  <sheetFormatPr defaultColWidth="9.140625" defaultRowHeight="12.75"/>
  <cols>
    <col min="1" max="1" width="22.85546875" style="1" customWidth="1"/>
    <col min="2" max="2" width="7" style="1" customWidth="1"/>
    <col min="3" max="3" width="8.140625" style="1" customWidth="1"/>
    <col min="4" max="9" width="7.42578125" style="1" bestFit="1" customWidth="1"/>
    <col min="10" max="10" width="7.7109375" style="1" customWidth="1"/>
    <col min="11" max="11" width="7.42578125" style="1" bestFit="1" customWidth="1"/>
    <col min="12" max="12" width="11.7109375" style="1" customWidth="1"/>
    <col min="13" max="13" width="7.85546875" style="1" customWidth="1"/>
    <col min="14" max="14" width="11.7109375" style="1" customWidth="1"/>
    <col min="15" max="15" width="21.28515625" style="1" customWidth="1"/>
    <col min="16" max="16384" width="9.140625" style="1"/>
  </cols>
  <sheetData>
    <row r="1" spans="1:18" s="2" customFormat="1" ht="21.75" customHeight="1">
      <c r="A1" s="1041" t="s">
        <v>371</v>
      </c>
      <c r="B1" s="1041"/>
      <c r="C1" s="1041"/>
      <c r="D1" s="1041"/>
      <c r="E1" s="1041"/>
      <c r="F1" s="1041"/>
      <c r="G1" s="1041"/>
      <c r="H1" s="1041"/>
      <c r="I1" s="1041"/>
      <c r="J1" s="1041"/>
      <c r="K1" s="1041"/>
      <c r="L1" s="1041"/>
      <c r="M1" s="1041"/>
      <c r="N1" s="1041"/>
      <c r="O1" s="1041"/>
    </row>
    <row r="2" spans="1:18" s="2" customFormat="1" ht="15.75" customHeight="1">
      <c r="A2" s="1068" t="s">
        <v>525</v>
      </c>
      <c r="B2" s="1068"/>
      <c r="C2" s="1068"/>
      <c r="D2" s="1068"/>
      <c r="E2" s="1068"/>
      <c r="F2" s="1068"/>
      <c r="G2" s="1068"/>
      <c r="H2" s="1068"/>
      <c r="I2" s="1068"/>
      <c r="J2" s="1068"/>
      <c r="K2" s="1068"/>
      <c r="L2" s="1068"/>
      <c r="M2" s="1068"/>
      <c r="N2" s="1068"/>
      <c r="O2" s="1068"/>
    </row>
    <row r="3" spans="1:18" s="2" customFormat="1" ht="18" customHeight="1">
      <c r="A3" s="1069">
        <v>2021</v>
      </c>
      <c r="B3" s="1069"/>
      <c r="C3" s="1069"/>
      <c r="D3" s="1069"/>
      <c r="E3" s="1069"/>
      <c r="F3" s="1069"/>
      <c r="G3" s="1069"/>
      <c r="H3" s="1069"/>
      <c r="I3" s="1069"/>
      <c r="J3" s="1069"/>
      <c r="K3" s="1069"/>
      <c r="L3" s="1069"/>
      <c r="M3" s="1069"/>
      <c r="N3" s="1069"/>
      <c r="O3" s="1069"/>
      <c r="P3" s="54"/>
      <c r="Q3" s="54"/>
      <c r="R3" s="54"/>
    </row>
    <row r="4" spans="1:18" s="2" customFormat="1" ht="15.75">
      <c r="A4" s="1069" t="s">
        <v>1</v>
      </c>
      <c r="B4" s="1069"/>
      <c r="C4" s="1069"/>
      <c r="D4" s="1069"/>
      <c r="E4" s="1069"/>
      <c r="F4" s="1069"/>
      <c r="G4" s="1069"/>
      <c r="H4" s="1069"/>
      <c r="I4" s="1069"/>
      <c r="J4" s="1069"/>
      <c r="K4" s="1069"/>
      <c r="L4" s="1069"/>
      <c r="M4" s="1069"/>
      <c r="N4" s="1069"/>
      <c r="O4" s="1069"/>
    </row>
    <row r="5" spans="1:18" s="2" customFormat="1" ht="15.75">
      <c r="A5" s="362"/>
      <c r="B5" s="362"/>
      <c r="C5" s="362"/>
      <c r="D5" s="362"/>
      <c r="E5" s="362"/>
      <c r="F5" s="362"/>
      <c r="G5" s="362"/>
      <c r="H5" s="362"/>
      <c r="I5" s="362"/>
      <c r="J5" s="362"/>
      <c r="K5" s="362"/>
      <c r="L5" s="362"/>
      <c r="M5" s="362"/>
      <c r="N5" s="362"/>
      <c r="O5" s="362"/>
    </row>
    <row r="6" spans="1:18" ht="15.75">
      <c r="A6" s="374" t="s">
        <v>469</v>
      </c>
      <c r="B6" s="378"/>
      <c r="C6" s="378"/>
      <c r="D6" s="378"/>
      <c r="E6" s="378"/>
      <c r="F6" s="378"/>
      <c r="G6" s="378"/>
      <c r="H6" s="378"/>
      <c r="I6" s="378"/>
      <c r="J6" s="378"/>
      <c r="K6" s="378"/>
      <c r="L6" s="378"/>
      <c r="M6" s="378"/>
      <c r="N6" s="378"/>
      <c r="O6" s="376" t="s">
        <v>470</v>
      </c>
    </row>
    <row r="7" spans="1:18" ht="26.25" customHeight="1">
      <c r="A7" s="1219" t="s">
        <v>141</v>
      </c>
      <c r="B7" s="1119" t="s">
        <v>135</v>
      </c>
      <c r="C7" s="1211"/>
      <c r="D7" s="1211"/>
      <c r="E7" s="1211"/>
      <c r="F7" s="1211"/>
      <c r="G7" s="1211"/>
      <c r="H7" s="1211"/>
      <c r="I7" s="1211"/>
      <c r="J7" s="1211"/>
      <c r="K7" s="1211"/>
      <c r="L7" s="1211"/>
      <c r="M7" s="1211"/>
      <c r="N7" s="1229" t="s">
        <v>650</v>
      </c>
      <c r="O7" s="1222" t="s">
        <v>1075</v>
      </c>
    </row>
    <row r="8" spans="1:18" ht="47.25" customHeight="1">
      <c r="A8" s="1220"/>
      <c r="B8" s="778">
        <v>-20</v>
      </c>
      <c r="C8" s="778" t="s">
        <v>127</v>
      </c>
      <c r="D8" s="778" t="s">
        <v>126</v>
      </c>
      <c r="E8" s="778" t="s">
        <v>125</v>
      </c>
      <c r="F8" s="778" t="s">
        <v>124</v>
      </c>
      <c r="G8" s="778" t="s">
        <v>123</v>
      </c>
      <c r="H8" s="778" t="s">
        <v>122</v>
      </c>
      <c r="I8" s="778" t="s">
        <v>121</v>
      </c>
      <c r="J8" s="778" t="s">
        <v>120</v>
      </c>
      <c r="K8" s="778" t="s">
        <v>132</v>
      </c>
      <c r="L8" s="332" t="s">
        <v>646</v>
      </c>
      <c r="M8" s="329" t="s">
        <v>595</v>
      </c>
      <c r="N8" s="1230"/>
      <c r="O8" s="1223"/>
    </row>
    <row r="9" spans="1:18" ht="18" customHeight="1" thickBot="1">
      <c r="A9" s="864" t="s">
        <v>426</v>
      </c>
      <c r="B9" s="279">
        <v>0</v>
      </c>
      <c r="C9" s="280">
        <v>0</v>
      </c>
      <c r="D9" s="280">
        <v>0</v>
      </c>
      <c r="E9" s="280">
        <v>0</v>
      </c>
      <c r="F9" s="280">
        <v>0</v>
      </c>
      <c r="G9" s="280">
        <v>0</v>
      </c>
      <c r="H9" s="280">
        <v>0</v>
      </c>
      <c r="I9" s="280">
        <v>0</v>
      </c>
      <c r="J9" s="280">
        <v>0</v>
      </c>
      <c r="K9" s="280">
        <v>0</v>
      </c>
      <c r="L9" s="280">
        <v>0</v>
      </c>
      <c r="M9" s="490">
        <v>0</v>
      </c>
      <c r="N9" s="270">
        <f>M9/$M$23%</f>
        <v>0</v>
      </c>
      <c r="O9" s="866" t="s">
        <v>426</v>
      </c>
    </row>
    <row r="10" spans="1:18" ht="18" customHeight="1" thickBot="1">
      <c r="A10" s="849" t="s">
        <v>127</v>
      </c>
      <c r="B10" s="60">
        <v>0</v>
      </c>
      <c r="C10" s="281">
        <v>0</v>
      </c>
      <c r="D10" s="281">
        <v>0</v>
      </c>
      <c r="E10" s="281">
        <v>0</v>
      </c>
      <c r="F10" s="281">
        <v>0</v>
      </c>
      <c r="G10" s="281">
        <v>0</v>
      </c>
      <c r="H10" s="281">
        <v>0</v>
      </c>
      <c r="I10" s="281">
        <v>0</v>
      </c>
      <c r="J10" s="281">
        <v>0</v>
      </c>
      <c r="K10" s="281">
        <v>0</v>
      </c>
      <c r="L10" s="281">
        <v>0</v>
      </c>
      <c r="M10" s="487">
        <v>0</v>
      </c>
      <c r="N10" s="8">
        <f t="shared" ref="N10:N22" si="0">M10/$M$23%</f>
        <v>0</v>
      </c>
      <c r="O10" s="851" t="s">
        <v>127</v>
      </c>
    </row>
    <row r="11" spans="1:18" ht="18" customHeight="1" thickBot="1">
      <c r="A11" s="813" t="s">
        <v>126</v>
      </c>
      <c r="B11" s="163">
        <v>0</v>
      </c>
      <c r="C11" s="282">
        <v>2</v>
      </c>
      <c r="D11" s="282">
        <v>8</v>
      </c>
      <c r="E11" s="282">
        <v>0</v>
      </c>
      <c r="F11" s="282">
        <v>0</v>
      </c>
      <c r="G11" s="282">
        <v>0</v>
      </c>
      <c r="H11" s="282">
        <v>0</v>
      </c>
      <c r="I11" s="282">
        <v>0</v>
      </c>
      <c r="J11" s="282">
        <v>0</v>
      </c>
      <c r="K11" s="282">
        <v>0</v>
      </c>
      <c r="L11" s="282">
        <v>0</v>
      </c>
      <c r="M11" s="488">
        <v>10</v>
      </c>
      <c r="N11" s="271">
        <f t="shared" si="0"/>
        <v>6.0975609756097562</v>
      </c>
      <c r="O11" s="809" t="s">
        <v>126</v>
      </c>
    </row>
    <row r="12" spans="1:18" ht="18" customHeight="1" thickBot="1">
      <c r="A12" s="849" t="s">
        <v>125</v>
      </c>
      <c r="B12" s="60">
        <v>0</v>
      </c>
      <c r="C12" s="281">
        <v>2</v>
      </c>
      <c r="D12" s="281">
        <v>6</v>
      </c>
      <c r="E12" s="281">
        <v>10</v>
      </c>
      <c r="F12" s="281">
        <v>0</v>
      </c>
      <c r="G12" s="281">
        <v>0</v>
      </c>
      <c r="H12" s="281">
        <v>0</v>
      </c>
      <c r="I12" s="281">
        <v>0</v>
      </c>
      <c r="J12" s="281">
        <v>0</v>
      </c>
      <c r="K12" s="281">
        <v>0</v>
      </c>
      <c r="L12" s="281">
        <v>0</v>
      </c>
      <c r="M12" s="487">
        <v>18</v>
      </c>
      <c r="N12" s="8">
        <f t="shared" si="0"/>
        <v>10.975609756097562</v>
      </c>
      <c r="O12" s="851" t="s">
        <v>125</v>
      </c>
    </row>
    <row r="13" spans="1:18" ht="18" customHeight="1" thickBot="1">
      <c r="A13" s="813" t="s">
        <v>124</v>
      </c>
      <c r="B13" s="163">
        <v>0</v>
      </c>
      <c r="C13" s="282">
        <v>0</v>
      </c>
      <c r="D13" s="282">
        <v>4</v>
      </c>
      <c r="E13" s="282">
        <v>8</v>
      </c>
      <c r="F13" s="282">
        <v>14</v>
      </c>
      <c r="G13" s="282">
        <v>0</v>
      </c>
      <c r="H13" s="282">
        <v>0</v>
      </c>
      <c r="I13" s="282">
        <v>0</v>
      </c>
      <c r="J13" s="282">
        <v>0</v>
      </c>
      <c r="K13" s="282">
        <v>0</v>
      </c>
      <c r="L13" s="282">
        <v>0</v>
      </c>
      <c r="M13" s="488">
        <v>26</v>
      </c>
      <c r="N13" s="271">
        <f t="shared" si="0"/>
        <v>15.853658536585368</v>
      </c>
      <c r="O13" s="809" t="s">
        <v>124</v>
      </c>
    </row>
    <row r="14" spans="1:18" ht="18" customHeight="1" thickBot="1">
      <c r="A14" s="849" t="s">
        <v>123</v>
      </c>
      <c r="B14" s="60">
        <v>0</v>
      </c>
      <c r="C14" s="281">
        <v>0</v>
      </c>
      <c r="D14" s="281">
        <v>1</v>
      </c>
      <c r="E14" s="281">
        <v>0</v>
      </c>
      <c r="F14" s="281">
        <v>3</v>
      </c>
      <c r="G14" s="281">
        <v>3</v>
      </c>
      <c r="H14" s="281">
        <v>0</v>
      </c>
      <c r="I14" s="281">
        <v>0</v>
      </c>
      <c r="J14" s="281">
        <v>0</v>
      </c>
      <c r="K14" s="281">
        <v>0</v>
      </c>
      <c r="L14" s="281">
        <v>0</v>
      </c>
      <c r="M14" s="487">
        <v>7</v>
      </c>
      <c r="N14" s="8">
        <f t="shared" si="0"/>
        <v>4.2682926829268295</v>
      </c>
      <c r="O14" s="851" t="s">
        <v>123</v>
      </c>
    </row>
    <row r="15" spans="1:18" ht="18" customHeight="1" thickBot="1">
      <c r="A15" s="813" t="s">
        <v>122</v>
      </c>
      <c r="B15" s="163">
        <v>0</v>
      </c>
      <c r="C15" s="282">
        <v>0</v>
      </c>
      <c r="D15" s="282">
        <v>0</v>
      </c>
      <c r="E15" s="282">
        <v>0</v>
      </c>
      <c r="F15" s="282">
        <v>26</v>
      </c>
      <c r="G15" s="282">
        <v>12</v>
      </c>
      <c r="H15" s="282">
        <v>7</v>
      </c>
      <c r="I15" s="282">
        <v>5</v>
      </c>
      <c r="J15" s="282">
        <v>0</v>
      </c>
      <c r="K15" s="282">
        <v>0</v>
      </c>
      <c r="L15" s="282">
        <v>4</v>
      </c>
      <c r="M15" s="488">
        <v>54</v>
      </c>
      <c r="N15" s="271">
        <f t="shared" si="0"/>
        <v>32.926829268292686</v>
      </c>
      <c r="O15" s="809" t="s">
        <v>122</v>
      </c>
    </row>
    <row r="16" spans="1:18" ht="18" customHeight="1" thickBot="1">
      <c r="A16" s="849" t="s">
        <v>121</v>
      </c>
      <c r="B16" s="60">
        <v>0</v>
      </c>
      <c r="C16" s="281">
        <v>0</v>
      </c>
      <c r="D16" s="281">
        <v>0</v>
      </c>
      <c r="E16" s="281">
        <v>0</v>
      </c>
      <c r="F16" s="281">
        <v>0</v>
      </c>
      <c r="G16" s="281">
        <v>0</v>
      </c>
      <c r="H16" s="281">
        <v>7</v>
      </c>
      <c r="I16" s="281">
        <v>4</v>
      </c>
      <c r="J16" s="281">
        <v>0</v>
      </c>
      <c r="K16" s="281">
        <v>10</v>
      </c>
      <c r="L16" s="281">
        <v>0</v>
      </c>
      <c r="M16" s="487">
        <v>21</v>
      </c>
      <c r="N16" s="8">
        <f t="shared" si="0"/>
        <v>12.804878048780489</v>
      </c>
      <c r="O16" s="851" t="s">
        <v>121</v>
      </c>
    </row>
    <row r="17" spans="1:15" ht="18" customHeight="1" thickBot="1">
      <c r="A17" s="813" t="s">
        <v>120</v>
      </c>
      <c r="B17" s="163">
        <v>0</v>
      </c>
      <c r="C17" s="282">
        <v>0</v>
      </c>
      <c r="D17" s="282">
        <v>0</v>
      </c>
      <c r="E17" s="282">
        <v>0</v>
      </c>
      <c r="F17" s="282">
        <v>0</v>
      </c>
      <c r="G17" s="282">
        <v>0</v>
      </c>
      <c r="H17" s="282">
        <v>6</v>
      </c>
      <c r="I17" s="282">
        <v>0</v>
      </c>
      <c r="J17" s="282">
        <v>3</v>
      </c>
      <c r="K17" s="282">
        <v>0</v>
      </c>
      <c r="L17" s="282">
        <v>0</v>
      </c>
      <c r="M17" s="488">
        <v>9</v>
      </c>
      <c r="N17" s="271">
        <f t="shared" si="0"/>
        <v>5.4878048780487809</v>
      </c>
      <c r="O17" s="809" t="s">
        <v>120</v>
      </c>
    </row>
    <row r="18" spans="1:15" ht="18" customHeight="1" thickBot="1">
      <c r="A18" s="849" t="s">
        <v>119</v>
      </c>
      <c r="B18" s="60">
        <v>0</v>
      </c>
      <c r="C18" s="281">
        <v>0</v>
      </c>
      <c r="D18" s="281">
        <v>0</v>
      </c>
      <c r="E18" s="281">
        <v>0</v>
      </c>
      <c r="F18" s="281">
        <v>0</v>
      </c>
      <c r="G18" s="281">
        <v>0</v>
      </c>
      <c r="H18" s="281">
        <v>4</v>
      </c>
      <c r="I18" s="281">
        <v>0</v>
      </c>
      <c r="J18" s="281">
        <v>9</v>
      </c>
      <c r="K18" s="281">
        <v>0</v>
      </c>
      <c r="L18" s="281">
        <v>0</v>
      </c>
      <c r="M18" s="487">
        <v>13</v>
      </c>
      <c r="N18" s="8">
        <f t="shared" si="0"/>
        <v>7.9268292682926838</v>
      </c>
      <c r="O18" s="851" t="s">
        <v>119</v>
      </c>
    </row>
    <row r="19" spans="1:15" ht="18" customHeight="1" thickBot="1">
      <c r="A19" s="813" t="s">
        <v>118</v>
      </c>
      <c r="B19" s="163">
        <v>0</v>
      </c>
      <c r="C19" s="282">
        <v>0</v>
      </c>
      <c r="D19" s="282">
        <v>0</v>
      </c>
      <c r="E19" s="282">
        <v>0</v>
      </c>
      <c r="F19" s="282">
        <v>0</v>
      </c>
      <c r="G19" s="282">
        <v>0</v>
      </c>
      <c r="H19" s="282">
        <v>0</v>
      </c>
      <c r="I19" s="282">
        <v>0</v>
      </c>
      <c r="J19" s="282">
        <v>0</v>
      </c>
      <c r="K19" s="282">
        <v>0</v>
      </c>
      <c r="L19" s="282">
        <v>0</v>
      </c>
      <c r="M19" s="488">
        <v>0</v>
      </c>
      <c r="N19" s="271">
        <f t="shared" si="0"/>
        <v>0</v>
      </c>
      <c r="O19" s="809" t="s">
        <v>118</v>
      </c>
    </row>
    <row r="20" spans="1:15" ht="18" customHeight="1" thickBot="1">
      <c r="A20" s="849" t="s">
        <v>117</v>
      </c>
      <c r="B20" s="60">
        <v>0</v>
      </c>
      <c r="C20" s="281">
        <v>0</v>
      </c>
      <c r="D20" s="281">
        <v>0</v>
      </c>
      <c r="E20" s="281">
        <v>0</v>
      </c>
      <c r="F20" s="281">
        <v>0</v>
      </c>
      <c r="G20" s="281">
        <v>0</v>
      </c>
      <c r="H20" s="281">
        <v>0</v>
      </c>
      <c r="I20" s="281">
        <v>0</v>
      </c>
      <c r="J20" s="281">
        <v>0</v>
      </c>
      <c r="K20" s="281">
        <v>6</v>
      </c>
      <c r="L20" s="281">
        <v>0</v>
      </c>
      <c r="M20" s="487">
        <v>6</v>
      </c>
      <c r="N20" s="8">
        <f t="shared" si="0"/>
        <v>3.6585365853658538</v>
      </c>
      <c r="O20" s="851" t="s">
        <v>117</v>
      </c>
    </row>
    <row r="21" spans="1:15" ht="18" customHeight="1" thickBot="1">
      <c r="A21" s="813" t="s">
        <v>116</v>
      </c>
      <c r="B21" s="163">
        <v>0</v>
      </c>
      <c r="C21" s="282">
        <v>0</v>
      </c>
      <c r="D21" s="282">
        <v>0</v>
      </c>
      <c r="E21" s="282">
        <v>0</v>
      </c>
      <c r="F21" s="282">
        <v>0</v>
      </c>
      <c r="G21" s="282">
        <v>0</v>
      </c>
      <c r="H21" s="282">
        <v>0</v>
      </c>
      <c r="I21" s="282">
        <v>0</v>
      </c>
      <c r="J21" s="282">
        <v>0</v>
      </c>
      <c r="K21" s="282">
        <v>0</v>
      </c>
      <c r="L21" s="282">
        <v>0</v>
      </c>
      <c r="M21" s="488">
        <v>0</v>
      </c>
      <c r="N21" s="271">
        <f t="shared" si="0"/>
        <v>0</v>
      </c>
      <c r="O21" s="809" t="s">
        <v>116</v>
      </c>
    </row>
    <row r="22" spans="1:15" ht="18" customHeight="1">
      <c r="A22" s="865" t="s">
        <v>14</v>
      </c>
      <c r="B22" s="58">
        <v>0</v>
      </c>
      <c r="C22" s="283">
        <v>0</v>
      </c>
      <c r="D22" s="283">
        <v>0</v>
      </c>
      <c r="E22" s="283">
        <v>0</v>
      </c>
      <c r="F22" s="283">
        <v>0</v>
      </c>
      <c r="G22" s="283">
        <v>0</v>
      </c>
      <c r="H22" s="283">
        <v>0</v>
      </c>
      <c r="I22" s="283">
        <v>0</v>
      </c>
      <c r="J22" s="283">
        <v>0</v>
      </c>
      <c r="K22" s="283">
        <v>0</v>
      </c>
      <c r="L22" s="283">
        <v>0</v>
      </c>
      <c r="M22" s="489">
        <v>0</v>
      </c>
      <c r="N22" s="57">
        <f t="shared" si="0"/>
        <v>0</v>
      </c>
      <c r="O22" s="867" t="s">
        <v>15</v>
      </c>
    </row>
    <row r="23" spans="1:15" ht="18.75" customHeight="1" thickBot="1">
      <c r="A23" s="267" t="s">
        <v>16</v>
      </c>
      <c r="B23" s="278">
        <f t="shared" ref="B23:M23" si="1">SUM(B9:B22)</f>
        <v>0</v>
      </c>
      <c r="C23" s="278">
        <f t="shared" si="1"/>
        <v>4</v>
      </c>
      <c r="D23" s="278">
        <f t="shared" si="1"/>
        <v>19</v>
      </c>
      <c r="E23" s="278">
        <f t="shared" si="1"/>
        <v>18</v>
      </c>
      <c r="F23" s="278">
        <f t="shared" si="1"/>
        <v>43</v>
      </c>
      <c r="G23" s="278">
        <f t="shared" si="1"/>
        <v>15</v>
      </c>
      <c r="H23" s="278">
        <f t="shared" si="1"/>
        <v>24</v>
      </c>
      <c r="I23" s="278">
        <f t="shared" si="1"/>
        <v>9</v>
      </c>
      <c r="J23" s="278">
        <f t="shared" si="1"/>
        <v>12</v>
      </c>
      <c r="K23" s="278">
        <f t="shared" si="1"/>
        <v>16</v>
      </c>
      <c r="L23" s="278">
        <f t="shared" si="1"/>
        <v>4</v>
      </c>
      <c r="M23" s="278">
        <f t="shared" si="1"/>
        <v>164</v>
      </c>
      <c r="N23" s="270">
        <f t="shared" ref="N23" si="2">SUM(N9:N22)</f>
        <v>100</v>
      </c>
      <c r="O23" s="269" t="s">
        <v>55</v>
      </c>
    </row>
    <row r="24" spans="1:15" ht="18.75" customHeight="1">
      <c r="A24" s="507" t="s">
        <v>370</v>
      </c>
      <c r="B24" s="519">
        <f t="shared" ref="B24:L24" si="3">B23/$M$23%</f>
        <v>0</v>
      </c>
      <c r="C24" s="519">
        <f t="shared" si="3"/>
        <v>2.4390243902439024</v>
      </c>
      <c r="D24" s="519">
        <f t="shared" si="3"/>
        <v>11.585365853658537</v>
      </c>
      <c r="E24" s="519">
        <f t="shared" si="3"/>
        <v>10.975609756097562</v>
      </c>
      <c r="F24" s="519">
        <f t="shared" si="3"/>
        <v>26.219512195121954</v>
      </c>
      <c r="G24" s="519">
        <f>G23/$M$23%</f>
        <v>9.1463414634146343</v>
      </c>
      <c r="H24" s="519">
        <f t="shared" si="3"/>
        <v>14.634146341463415</v>
      </c>
      <c r="I24" s="519">
        <f t="shared" si="3"/>
        <v>5.4878048780487809</v>
      </c>
      <c r="J24" s="519">
        <f t="shared" si="3"/>
        <v>7.3170731707317076</v>
      </c>
      <c r="K24" s="519">
        <f t="shared" si="3"/>
        <v>9.7560975609756095</v>
      </c>
      <c r="L24" s="519">
        <f t="shared" si="3"/>
        <v>2.4390243902439024</v>
      </c>
      <c r="M24" s="519">
        <f>SUM(B24:L24)</f>
        <v>99.999999999999986</v>
      </c>
      <c r="N24" s="1227" t="s">
        <v>19</v>
      </c>
      <c r="O24" s="1228"/>
    </row>
    <row r="25" spans="1:15" s="916" customFormat="1" ht="14.25">
      <c r="A25" s="918" t="s">
        <v>570</v>
      </c>
      <c r="O25" s="916" t="s">
        <v>688</v>
      </c>
    </row>
    <row r="31" spans="1:15" ht="192" thickBot="1">
      <c r="B31" s="12" t="s">
        <v>565</v>
      </c>
      <c r="C31" s="12" t="s">
        <v>564</v>
      </c>
      <c r="D31" s="12"/>
    </row>
    <row r="32" spans="1:15" ht="15.75" thickBot="1">
      <c r="A32" s="80">
        <v>-20</v>
      </c>
      <c r="B32" s="1">
        <f>B23</f>
        <v>0</v>
      </c>
      <c r="C32" s="1">
        <f>M9</f>
        <v>0</v>
      </c>
    </row>
    <row r="33" spans="1:3" ht="15.75" thickBot="1">
      <c r="A33" s="80" t="s">
        <v>5</v>
      </c>
      <c r="B33" s="1">
        <f>C23</f>
        <v>4</v>
      </c>
      <c r="C33" s="1">
        <f t="shared" ref="C33:C40" si="4">M10</f>
        <v>0</v>
      </c>
    </row>
    <row r="34" spans="1:3" ht="15.75" thickBot="1">
      <c r="A34" s="80" t="s">
        <v>6</v>
      </c>
      <c r="B34" s="1">
        <f>D23</f>
        <v>19</v>
      </c>
      <c r="C34" s="1">
        <f t="shared" si="4"/>
        <v>10</v>
      </c>
    </row>
    <row r="35" spans="1:3" ht="15.75" thickBot="1">
      <c r="A35" s="80" t="s">
        <v>7</v>
      </c>
      <c r="B35" s="1">
        <f>E23</f>
        <v>18</v>
      </c>
      <c r="C35" s="1">
        <f t="shared" si="4"/>
        <v>18</v>
      </c>
    </row>
    <row r="36" spans="1:3" ht="15.75" thickBot="1">
      <c r="A36" s="80" t="s">
        <v>8</v>
      </c>
      <c r="B36" s="1">
        <f>F23</f>
        <v>43</v>
      </c>
      <c r="C36" s="1">
        <f t="shared" si="4"/>
        <v>26</v>
      </c>
    </row>
    <row r="37" spans="1:3" ht="15.75" thickBot="1">
      <c r="A37" s="80" t="s">
        <v>9</v>
      </c>
      <c r="B37" s="1">
        <f>G23</f>
        <v>15</v>
      </c>
      <c r="C37" s="1">
        <f t="shared" si="4"/>
        <v>7</v>
      </c>
    </row>
    <row r="38" spans="1:3" ht="15.75" thickBot="1">
      <c r="A38" s="80" t="s">
        <v>10</v>
      </c>
      <c r="B38" s="1">
        <f>H23</f>
        <v>24</v>
      </c>
      <c r="C38" s="1">
        <f t="shared" si="4"/>
        <v>54</v>
      </c>
    </row>
    <row r="39" spans="1:3" ht="15.75" thickBot="1">
      <c r="A39" s="80" t="s">
        <v>11</v>
      </c>
      <c r="B39" s="1">
        <f>I23</f>
        <v>9</v>
      </c>
      <c r="C39" s="1">
        <f t="shared" si="4"/>
        <v>21</v>
      </c>
    </row>
    <row r="40" spans="1:3" ht="15.75" thickBot="1">
      <c r="A40" s="80" t="s">
        <v>12</v>
      </c>
      <c r="B40" s="1">
        <f>J23</f>
        <v>12</v>
      </c>
      <c r="C40" s="1">
        <f t="shared" si="4"/>
        <v>9</v>
      </c>
    </row>
    <row r="41" spans="1:3" ht="15.75" thickBot="1">
      <c r="A41" s="80" t="s">
        <v>13</v>
      </c>
      <c r="B41" s="1">
        <f>K23</f>
        <v>16</v>
      </c>
      <c r="C41" s="1">
        <f>SUM(M18:M21)</f>
        <v>19</v>
      </c>
    </row>
    <row r="42" spans="1:3" ht="30.75" thickBot="1">
      <c r="A42" s="80" t="s">
        <v>439</v>
      </c>
      <c r="B42" s="276">
        <f>L23</f>
        <v>4</v>
      </c>
      <c r="C42" s="1">
        <f>M22</f>
        <v>0</v>
      </c>
    </row>
    <row r="43" spans="1:3">
      <c r="B43" s="1">
        <f>SUM(B32:B42)</f>
        <v>164</v>
      </c>
      <c r="C43" s="1">
        <f>SUM(C32:C42)</f>
        <v>164</v>
      </c>
    </row>
  </sheetData>
  <mergeCells count="9">
    <mergeCell ref="A1:O1"/>
    <mergeCell ref="A2:O2"/>
    <mergeCell ref="A3:O3"/>
    <mergeCell ref="A4:O4"/>
    <mergeCell ref="N24:O24"/>
    <mergeCell ref="A7:A8"/>
    <mergeCell ref="B7:M7"/>
    <mergeCell ref="O7:O8"/>
    <mergeCell ref="N7:N8"/>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37:N37"/>
  <sheetViews>
    <sheetView rightToLeft="1" view="pageBreakPreview" topLeftCell="A4" zoomScaleNormal="100" zoomScaleSheetLayoutView="100" workbookViewId="0">
      <selection activeCell="F22" sqref="F22"/>
    </sheetView>
  </sheetViews>
  <sheetFormatPr defaultColWidth="9.140625" defaultRowHeight="12.75"/>
  <cols>
    <col min="1" max="16384" width="9.140625" style="1"/>
  </cols>
  <sheetData>
    <row r="37" spans="1:14" ht="15.75">
      <c r="A37" s="1070" t="s">
        <v>526</v>
      </c>
      <c r="B37" s="1070"/>
      <c r="C37" s="1070"/>
      <c r="D37" s="1070"/>
      <c r="E37" s="1070"/>
      <c r="F37" s="1070"/>
      <c r="G37" s="1070"/>
      <c r="H37" s="1070"/>
      <c r="I37" s="1070"/>
      <c r="J37" s="1070"/>
      <c r="K37" s="1070"/>
      <c r="L37" s="1070"/>
      <c r="M37" s="1070"/>
      <c r="N37" s="1070"/>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L23"/>
  <sheetViews>
    <sheetView rightToLeft="1" view="pageBreakPreview" zoomScaleNormal="75" workbookViewId="0">
      <selection activeCell="A3" sqref="A3:L3"/>
    </sheetView>
  </sheetViews>
  <sheetFormatPr defaultColWidth="9.140625" defaultRowHeight="12.75"/>
  <cols>
    <col min="1" max="1" width="21.42578125" style="1" customWidth="1"/>
    <col min="2" max="10" width="8.7109375" style="1" customWidth="1"/>
    <col min="11" max="11" width="11.85546875" style="1" customWidth="1"/>
    <col min="12" max="12" width="19.7109375" style="1" customWidth="1"/>
    <col min="13" max="16384" width="9.140625" style="1"/>
  </cols>
  <sheetData>
    <row r="1" spans="1:12" s="2" customFormat="1" ht="24" customHeight="1">
      <c r="A1" s="1041" t="s">
        <v>0</v>
      </c>
      <c r="B1" s="1041"/>
      <c r="C1" s="1142"/>
      <c r="D1" s="1041"/>
      <c r="E1" s="1041"/>
      <c r="F1" s="1041"/>
      <c r="G1" s="1041"/>
      <c r="H1" s="1041"/>
      <c r="I1" s="1041"/>
      <c r="J1" s="1041"/>
      <c r="K1" s="1041"/>
      <c r="L1" s="1041"/>
    </row>
    <row r="2" spans="1:12" s="3" customFormat="1" ht="18" customHeight="1">
      <c r="A2" s="1068" t="s">
        <v>524</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t="s">
        <v>167</v>
      </c>
      <c r="B4" s="1069"/>
      <c r="C4" s="1069"/>
      <c r="D4" s="1069"/>
      <c r="E4" s="1069"/>
      <c r="F4" s="1069"/>
      <c r="G4" s="1069"/>
      <c r="H4" s="1069"/>
      <c r="I4" s="1069"/>
      <c r="J4" s="1069"/>
      <c r="K4" s="1069"/>
      <c r="L4" s="1069"/>
    </row>
    <row r="5" spans="1:12" s="2" customFormat="1" ht="15.75">
      <c r="A5" s="362"/>
      <c r="B5" s="362"/>
      <c r="C5" s="362"/>
      <c r="D5" s="362"/>
      <c r="E5" s="362"/>
      <c r="F5" s="362"/>
      <c r="G5" s="362"/>
      <c r="H5" s="362"/>
      <c r="I5" s="362"/>
      <c r="J5" s="362"/>
      <c r="K5" s="362"/>
      <c r="L5" s="362"/>
    </row>
    <row r="6" spans="1:12" ht="15.75">
      <c r="A6" s="374" t="s">
        <v>473</v>
      </c>
      <c r="B6" s="378"/>
      <c r="C6" s="378"/>
      <c r="D6" s="378"/>
      <c r="E6" s="378"/>
      <c r="F6" s="378"/>
      <c r="G6" s="378"/>
      <c r="H6" s="378"/>
      <c r="I6" s="378"/>
      <c r="J6" s="378"/>
      <c r="K6" s="378"/>
      <c r="L6" s="376" t="s">
        <v>474</v>
      </c>
    </row>
    <row r="7" spans="1:12" ht="30.75" customHeight="1" thickBot="1">
      <c r="A7" s="1131" t="s">
        <v>308</v>
      </c>
      <c r="B7" s="1233" t="s">
        <v>580</v>
      </c>
      <c r="C7" s="1234"/>
      <c r="D7" s="1234"/>
      <c r="E7" s="1234"/>
      <c r="F7" s="1234"/>
      <c r="G7" s="1234"/>
      <c r="H7" s="1234"/>
      <c r="I7" s="1234"/>
      <c r="J7" s="1235"/>
      <c r="K7" s="1146" t="s">
        <v>651</v>
      </c>
      <c r="L7" s="1138" t="s">
        <v>355</v>
      </c>
    </row>
    <row r="8" spans="1:12" ht="39" customHeight="1">
      <c r="A8" s="1140"/>
      <c r="B8" s="323">
        <v>0</v>
      </c>
      <c r="C8" s="323">
        <v>1</v>
      </c>
      <c r="D8" s="323">
        <v>2</v>
      </c>
      <c r="E8" s="323">
        <v>3</v>
      </c>
      <c r="F8" s="323">
        <v>4</v>
      </c>
      <c r="G8" s="323">
        <v>5</v>
      </c>
      <c r="H8" s="323" t="s">
        <v>548</v>
      </c>
      <c r="I8" s="332" t="s">
        <v>646</v>
      </c>
      <c r="J8" s="329" t="s">
        <v>595</v>
      </c>
      <c r="K8" s="1147"/>
      <c r="L8" s="1141"/>
    </row>
    <row r="9" spans="1:12" ht="17.25" customHeight="1" thickBot="1">
      <c r="A9" s="810">
        <v>-20</v>
      </c>
      <c r="B9" s="264">
        <v>32</v>
      </c>
      <c r="C9" s="75">
        <v>0</v>
      </c>
      <c r="D9" s="75">
        <v>0</v>
      </c>
      <c r="E9" s="75">
        <v>0</v>
      </c>
      <c r="F9" s="75">
        <v>0</v>
      </c>
      <c r="G9" s="75">
        <v>0</v>
      </c>
      <c r="H9" s="75">
        <v>0</v>
      </c>
      <c r="I9" s="75">
        <v>0</v>
      </c>
      <c r="J9" s="113">
        <v>32</v>
      </c>
      <c r="K9" s="7">
        <f t="shared" ref="K9" si="0">J9/$J$20%</f>
        <v>2.6294165981922761</v>
      </c>
      <c r="L9" s="95">
        <v>-20</v>
      </c>
    </row>
    <row r="10" spans="1:12" ht="17.25" customHeight="1" thickBot="1">
      <c r="A10" s="774" t="s">
        <v>127</v>
      </c>
      <c r="B10" s="264">
        <v>246</v>
      </c>
      <c r="C10" s="75">
        <v>3</v>
      </c>
      <c r="D10" s="75">
        <v>0</v>
      </c>
      <c r="E10" s="75">
        <v>0</v>
      </c>
      <c r="F10" s="75">
        <v>0</v>
      </c>
      <c r="G10" s="75">
        <v>0</v>
      </c>
      <c r="H10" s="75">
        <v>0</v>
      </c>
      <c r="I10" s="75">
        <v>0</v>
      </c>
      <c r="J10" s="113">
        <v>249</v>
      </c>
      <c r="K10" s="8">
        <f t="shared" ref="K10:K19" si="1">J10/$J$20%</f>
        <v>20.460147904683648</v>
      </c>
      <c r="L10" s="854" t="s">
        <v>127</v>
      </c>
    </row>
    <row r="11" spans="1:12" ht="17.25" customHeight="1" thickBot="1">
      <c r="A11" s="811" t="s">
        <v>126</v>
      </c>
      <c r="B11" s="264">
        <v>281</v>
      </c>
      <c r="C11" s="75">
        <v>3</v>
      </c>
      <c r="D11" s="75">
        <v>2</v>
      </c>
      <c r="E11" s="75">
        <v>1</v>
      </c>
      <c r="F11" s="75">
        <v>0</v>
      </c>
      <c r="G11" s="75">
        <v>0</v>
      </c>
      <c r="H11" s="75">
        <v>0</v>
      </c>
      <c r="I11" s="75">
        <v>0</v>
      </c>
      <c r="J11" s="113">
        <v>287</v>
      </c>
      <c r="K11" s="9">
        <f t="shared" si="1"/>
        <v>23.582580115036976</v>
      </c>
      <c r="L11" s="814" t="s">
        <v>126</v>
      </c>
    </row>
    <row r="12" spans="1:12" ht="17.25" customHeight="1" thickBot="1">
      <c r="A12" s="774" t="s">
        <v>125</v>
      </c>
      <c r="B12" s="264">
        <v>178</v>
      </c>
      <c r="C12" s="75">
        <v>2</v>
      </c>
      <c r="D12" s="75">
        <v>1</v>
      </c>
      <c r="E12" s="75">
        <v>0</v>
      </c>
      <c r="F12" s="75">
        <v>2</v>
      </c>
      <c r="G12" s="75">
        <v>0</v>
      </c>
      <c r="H12" s="75">
        <v>0</v>
      </c>
      <c r="I12" s="75">
        <v>0</v>
      </c>
      <c r="J12" s="113">
        <v>183</v>
      </c>
      <c r="K12" s="8">
        <f t="shared" si="1"/>
        <v>15.036976170912078</v>
      </c>
      <c r="L12" s="854" t="s">
        <v>125</v>
      </c>
    </row>
    <row r="13" spans="1:12" ht="17.25" customHeight="1" thickBot="1">
      <c r="A13" s="811" t="s">
        <v>124</v>
      </c>
      <c r="B13" s="264">
        <v>164</v>
      </c>
      <c r="C13" s="75">
        <v>0</v>
      </c>
      <c r="D13" s="75">
        <v>1</v>
      </c>
      <c r="E13" s="75">
        <v>1</v>
      </c>
      <c r="F13" s="75">
        <v>0</v>
      </c>
      <c r="G13" s="75">
        <v>2</v>
      </c>
      <c r="H13" s="75">
        <v>1</v>
      </c>
      <c r="I13" s="75">
        <v>0</v>
      </c>
      <c r="J13" s="113">
        <v>169</v>
      </c>
      <c r="K13" s="9">
        <f t="shared" si="1"/>
        <v>13.886606409202958</v>
      </c>
      <c r="L13" s="814" t="s">
        <v>124</v>
      </c>
    </row>
    <row r="14" spans="1:12" ht="17.25" customHeight="1" thickBot="1">
      <c r="A14" s="774" t="s">
        <v>123</v>
      </c>
      <c r="B14" s="264">
        <v>104</v>
      </c>
      <c r="C14" s="75">
        <v>1</v>
      </c>
      <c r="D14" s="75">
        <v>0</v>
      </c>
      <c r="E14" s="75">
        <v>1</v>
      </c>
      <c r="F14" s="75">
        <v>1</v>
      </c>
      <c r="G14" s="75">
        <v>0</v>
      </c>
      <c r="H14" s="75">
        <v>0</v>
      </c>
      <c r="I14" s="75">
        <v>0</v>
      </c>
      <c r="J14" s="113">
        <v>107</v>
      </c>
      <c r="K14" s="8">
        <f t="shared" si="1"/>
        <v>8.7921117502054233</v>
      </c>
      <c r="L14" s="854" t="s">
        <v>123</v>
      </c>
    </row>
    <row r="15" spans="1:12" ht="17.25" customHeight="1" thickBot="1">
      <c r="A15" s="811" t="s">
        <v>122</v>
      </c>
      <c r="B15" s="264">
        <v>76</v>
      </c>
      <c r="C15" s="75">
        <v>1</v>
      </c>
      <c r="D15" s="75">
        <v>0</v>
      </c>
      <c r="E15" s="75">
        <v>2</v>
      </c>
      <c r="F15" s="75">
        <v>0</v>
      </c>
      <c r="G15" s="75">
        <v>0</v>
      </c>
      <c r="H15" s="75">
        <v>1</v>
      </c>
      <c r="I15" s="75">
        <v>0</v>
      </c>
      <c r="J15" s="113">
        <v>80</v>
      </c>
      <c r="K15" s="9">
        <f t="shared" si="1"/>
        <v>6.5735414954806899</v>
      </c>
      <c r="L15" s="814" t="s">
        <v>122</v>
      </c>
    </row>
    <row r="16" spans="1:12" ht="17.25" customHeight="1" thickBot="1">
      <c r="A16" s="774" t="s">
        <v>121</v>
      </c>
      <c r="B16" s="264">
        <v>61</v>
      </c>
      <c r="C16" s="75">
        <v>0</v>
      </c>
      <c r="D16" s="75">
        <v>0</v>
      </c>
      <c r="E16" s="75">
        <v>0</v>
      </c>
      <c r="F16" s="75">
        <v>1</v>
      </c>
      <c r="G16" s="75">
        <v>1</v>
      </c>
      <c r="H16" s="75">
        <v>0</v>
      </c>
      <c r="I16" s="75">
        <v>0</v>
      </c>
      <c r="J16" s="113">
        <v>63</v>
      </c>
      <c r="K16" s="8">
        <f t="shared" si="1"/>
        <v>5.1766639276910436</v>
      </c>
      <c r="L16" s="854" t="s">
        <v>121</v>
      </c>
    </row>
    <row r="17" spans="1:12" ht="17.25" customHeight="1" thickBot="1">
      <c r="A17" s="811" t="s">
        <v>120</v>
      </c>
      <c r="B17" s="264">
        <v>28</v>
      </c>
      <c r="C17" s="75">
        <v>0</v>
      </c>
      <c r="D17" s="75">
        <v>0</v>
      </c>
      <c r="E17" s="75">
        <v>0</v>
      </c>
      <c r="F17" s="75">
        <v>0</v>
      </c>
      <c r="G17" s="75">
        <v>0</v>
      </c>
      <c r="H17" s="75">
        <v>1</v>
      </c>
      <c r="I17" s="75">
        <v>0</v>
      </c>
      <c r="J17" s="113">
        <v>29</v>
      </c>
      <c r="K17" s="9">
        <f t="shared" si="1"/>
        <v>2.3829087921117504</v>
      </c>
      <c r="L17" s="814" t="s">
        <v>120</v>
      </c>
    </row>
    <row r="18" spans="1:12" ht="17.25" customHeight="1" thickBot="1">
      <c r="A18" s="774" t="s">
        <v>132</v>
      </c>
      <c r="B18" s="264">
        <v>16</v>
      </c>
      <c r="C18" s="75">
        <v>0</v>
      </c>
      <c r="D18" s="75">
        <v>0</v>
      </c>
      <c r="E18" s="75">
        <v>0</v>
      </c>
      <c r="F18" s="75">
        <v>0</v>
      </c>
      <c r="G18" s="75">
        <v>0</v>
      </c>
      <c r="H18" s="75">
        <v>2</v>
      </c>
      <c r="I18" s="75">
        <v>0</v>
      </c>
      <c r="J18" s="113">
        <v>18</v>
      </c>
      <c r="K18" s="8">
        <f t="shared" si="1"/>
        <v>1.4790468364831553</v>
      </c>
      <c r="L18" s="854" t="s">
        <v>132</v>
      </c>
    </row>
    <row r="19" spans="1:12" ht="17.25" customHeight="1" thickBot="1">
      <c r="A19" s="812" t="s">
        <v>14</v>
      </c>
      <c r="B19" s="285">
        <v>0</v>
      </c>
      <c r="C19" s="286">
        <v>0</v>
      </c>
      <c r="D19" s="286">
        <v>0</v>
      </c>
      <c r="E19" s="286">
        <v>0</v>
      </c>
      <c r="F19" s="286">
        <v>0</v>
      </c>
      <c r="G19" s="286">
        <v>0</v>
      </c>
      <c r="H19" s="286">
        <v>0</v>
      </c>
      <c r="I19" s="286">
        <v>0</v>
      </c>
      <c r="J19" s="113">
        <v>0</v>
      </c>
      <c r="K19" s="10">
        <f t="shared" si="1"/>
        <v>0</v>
      </c>
      <c r="L19" s="815" t="s">
        <v>15</v>
      </c>
    </row>
    <row r="20" spans="1:12" ht="18.75" customHeight="1" thickBot="1">
      <c r="A20" s="287" t="s">
        <v>16</v>
      </c>
      <c r="B20" s="126">
        <f>SUM(B9:B19)</f>
        <v>1186</v>
      </c>
      <c r="C20" s="288">
        <f t="shared" ref="C20:I20" si="2">SUM(C9:C19)</f>
        <v>10</v>
      </c>
      <c r="D20" s="288">
        <f t="shared" si="2"/>
        <v>4</v>
      </c>
      <c r="E20" s="288">
        <f t="shared" si="2"/>
        <v>5</v>
      </c>
      <c r="F20" s="288">
        <f t="shared" si="2"/>
        <v>4</v>
      </c>
      <c r="G20" s="288">
        <f t="shared" si="2"/>
        <v>3</v>
      </c>
      <c r="H20" s="288">
        <f t="shared" si="2"/>
        <v>5</v>
      </c>
      <c r="I20" s="288">
        <f t="shared" si="2"/>
        <v>0</v>
      </c>
      <c r="J20" s="126">
        <f>SUM(J9:J19)</f>
        <v>1217</v>
      </c>
      <c r="K20" s="289">
        <f t="shared" ref="K20" si="3">SUM(K9:K19)</f>
        <v>99.999999999999972</v>
      </c>
      <c r="L20" s="290" t="s">
        <v>17</v>
      </c>
    </row>
    <row r="21" spans="1:12" ht="18.75" customHeight="1">
      <c r="A21" s="114" t="s">
        <v>144</v>
      </c>
      <c r="B21" s="156">
        <f>B20/$J$20%</f>
        <v>97.452752670501226</v>
      </c>
      <c r="C21" s="156">
        <f t="shared" ref="C21:I21" si="4">C20/$J$20%</f>
        <v>0.82169268693508624</v>
      </c>
      <c r="D21" s="156">
        <f t="shared" si="4"/>
        <v>0.32867707477403452</v>
      </c>
      <c r="E21" s="156">
        <f t="shared" si="4"/>
        <v>0.41084634346754312</v>
      </c>
      <c r="F21" s="156">
        <f t="shared" si="4"/>
        <v>0.32867707477403452</v>
      </c>
      <c r="G21" s="156">
        <f t="shared" si="4"/>
        <v>0.24650780608052589</v>
      </c>
      <c r="H21" s="156">
        <f t="shared" si="4"/>
        <v>0.41084634346754312</v>
      </c>
      <c r="I21" s="156">
        <f t="shared" si="4"/>
        <v>0</v>
      </c>
      <c r="J21" s="156">
        <f>SUM(B21:I21)</f>
        <v>99.999999999999986</v>
      </c>
      <c r="K21" s="1231" t="s">
        <v>19</v>
      </c>
      <c r="L21" s="1232"/>
    </row>
    <row r="22" spans="1:12" s="916" customFormat="1" ht="15.75" customHeight="1">
      <c r="A22" s="918" t="s">
        <v>574</v>
      </c>
      <c r="L22" s="916" t="s">
        <v>575</v>
      </c>
    </row>
    <row r="23" spans="1:12">
      <c r="A23" s="29"/>
    </row>
  </sheetData>
  <mergeCells count="9">
    <mergeCell ref="K21:L21"/>
    <mergeCell ref="K7:K8"/>
    <mergeCell ref="A1:L1"/>
    <mergeCell ref="A2:L2"/>
    <mergeCell ref="A3:L3"/>
    <mergeCell ref="A7:A8"/>
    <mergeCell ref="B7:J7"/>
    <mergeCell ref="L7:L8"/>
    <mergeCell ref="A4:L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L22"/>
  <sheetViews>
    <sheetView rightToLeft="1" view="pageBreakPreview" topLeftCell="A4" zoomScaleNormal="75" workbookViewId="0">
      <selection activeCell="J25" sqref="J25"/>
    </sheetView>
  </sheetViews>
  <sheetFormatPr defaultColWidth="9.140625" defaultRowHeight="12.75"/>
  <cols>
    <col min="1" max="1" width="21.42578125" style="1" customWidth="1"/>
    <col min="2" max="10" width="8.7109375" style="1" customWidth="1"/>
    <col min="11" max="11" width="11.85546875" style="1" customWidth="1"/>
    <col min="12" max="12" width="19.7109375" style="1" customWidth="1"/>
    <col min="13" max="16384" width="9.140625" style="1"/>
  </cols>
  <sheetData>
    <row r="1" spans="1:12" s="2" customFormat="1" ht="24" customHeight="1">
      <c r="A1" s="1041" t="s">
        <v>0</v>
      </c>
      <c r="B1" s="1041"/>
      <c r="C1" s="1142"/>
      <c r="D1" s="1041"/>
      <c r="E1" s="1041"/>
      <c r="F1" s="1041"/>
      <c r="G1" s="1041"/>
      <c r="H1" s="1041"/>
      <c r="I1" s="1041"/>
      <c r="J1" s="1041"/>
      <c r="K1" s="1041"/>
      <c r="L1" s="1041"/>
    </row>
    <row r="2" spans="1:12" s="3" customFormat="1" ht="18" customHeight="1">
      <c r="A2" s="1068" t="s">
        <v>524</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t="s">
        <v>172</v>
      </c>
      <c r="B4" s="1069"/>
      <c r="C4" s="1069"/>
      <c r="D4" s="1069"/>
      <c r="E4" s="1069"/>
      <c r="F4" s="1069"/>
      <c r="G4" s="1069"/>
      <c r="H4" s="1069"/>
      <c r="I4" s="1069"/>
      <c r="J4" s="1069"/>
      <c r="K4" s="1069"/>
      <c r="L4" s="1069"/>
    </row>
    <row r="5" spans="1:12" s="2" customFormat="1" ht="15.75">
      <c r="A5" s="362"/>
      <c r="B5" s="362"/>
      <c r="C5" s="362"/>
      <c r="D5" s="362"/>
      <c r="E5" s="362"/>
      <c r="F5" s="362"/>
      <c r="G5" s="362"/>
      <c r="H5" s="362"/>
      <c r="I5" s="362"/>
      <c r="J5" s="362"/>
      <c r="K5" s="362"/>
      <c r="L5" s="362"/>
    </row>
    <row r="6" spans="1:12" ht="15.75">
      <c r="A6" s="374" t="s">
        <v>477</v>
      </c>
      <c r="B6" s="378"/>
      <c r="C6" s="378"/>
      <c r="D6" s="378"/>
      <c r="E6" s="378"/>
      <c r="F6" s="378"/>
      <c r="G6" s="378"/>
      <c r="H6" s="378"/>
      <c r="I6" s="378"/>
      <c r="J6" s="378"/>
      <c r="K6" s="378"/>
      <c r="L6" s="376" t="s">
        <v>478</v>
      </c>
    </row>
    <row r="7" spans="1:12" ht="30.75" customHeight="1" thickBot="1">
      <c r="A7" s="1131" t="s">
        <v>308</v>
      </c>
      <c r="B7" s="1233" t="s">
        <v>580</v>
      </c>
      <c r="C7" s="1234"/>
      <c r="D7" s="1234"/>
      <c r="E7" s="1234"/>
      <c r="F7" s="1234"/>
      <c r="G7" s="1234"/>
      <c r="H7" s="1234"/>
      <c r="I7" s="1234"/>
      <c r="J7" s="1235"/>
      <c r="K7" s="1146" t="s">
        <v>651</v>
      </c>
      <c r="L7" s="1138" t="s">
        <v>355</v>
      </c>
    </row>
    <row r="8" spans="1:12" ht="39" customHeight="1">
      <c r="A8" s="1132"/>
      <c r="B8" s="323">
        <v>0</v>
      </c>
      <c r="C8" s="323">
        <v>1</v>
      </c>
      <c r="D8" s="323">
        <v>2</v>
      </c>
      <c r="E8" s="323">
        <v>3</v>
      </c>
      <c r="F8" s="323">
        <v>4</v>
      </c>
      <c r="G8" s="323">
        <v>5</v>
      </c>
      <c r="H8" s="323" t="s">
        <v>548</v>
      </c>
      <c r="I8" s="332" t="s">
        <v>646</v>
      </c>
      <c r="J8" s="329" t="s">
        <v>595</v>
      </c>
      <c r="K8" s="1171"/>
      <c r="L8" s="1139"/>
    </row>
    <row r="9" spans="1:12" ht="17.25" customHeight="1" thickBot="1">
      <c r="A9" s="856">
        <v>-20</v>
      </c>
      <c r="B9" s="294">
        <v>9</v>
      </c>
      <c r="C9" s="247">
        <v>0</v>
      </c>
      <c r="D9" s="247">
        <v>0</v>
      </c>
      <c r="E9" s="247">
        <v>0</v>
      </c>
      <c r="F9" s="247">
        <v>0</v>
      </c>
      <c r="G9" s="247">
        <v>0</v>
      </c>
      <c r="H9" s="247">
        <v>0</v>
      </c>
      <c r="I9" s="247">
        <v>0</v>
      </c>
      <c r="J9" s="295">
        <v>9</v>
      </c>
      <c r="K9" s="165">
        <f t="shared" ref="K9:K19" si="0">J9/$J$20%</f>
        <v>0.97402597402597402</v>
      </c>
      <c r="L9" s="868">
        <v>-20</v>
      </c>
    </row>
    <row r="10" spans="1:12" ht="17.25" customHeight="1" thickBot="1">
      <c r="A10" s="774" t="s">
        <v>127</v>
      </c>
      <c r="B10" s="291">
        <v>77</v>
      </c>
      <c r="C10" s="75">
        <v>1</v>
      </c>
      <c r="D10" s="75">
        <v>0</v>
      </c>
      <c r="E10" s="75">
        <v>0</v>
      </c>
      <c r="F10" s="75">
        <v>0</v>
      </c>
      <c r="G10" s="75">
        <v>0</v>
      </c>
      <c r="H10" s="75">
        <v>0</v>
      </c>
      <c r="I10" s="75">
        <v>0</v>
      </c>
      <c r="J10" s="295">
        <v>78</v>
      </c>
      <c r="K10" s="8">
        <f t="shared" si="0"/>
        <v>8.4415584415584419</v>
      </c>
      <c r="L10" s="854" t="s">
        <v>127</v>
      </c>
    </row>
    <row r="11" spans="1:12" ht="17.25" customHeight="1" thickBot="1">
      <c r="A11" s="811" t="s">
        <v>126</v>
      </c>
      <c r="B11" s="291">
        <v>152</v>
      </c>
      <c r="C11" s="75">
        <v>2</v>
      </c>
      <c r="D11" s="75">
        <v>2</v>
      </c>
      <c r="E11" s="75">
        <v>1</v>
      </c>
      <c r="F11" s="75">
        <v>0</v>
      </c>
      <c r="G11" s="75">
        <v>0</v>
      </c>
      <c r="H11" s="75">
        <v>0</v>
      </c>
      <c r="I11" s="75">
        <v>0</v>
      </c>
      <c r="J11" s="295">
        <v>157</v>
      </c>
      <c r="K11" s="9">
        <f t="shared" si="0"/>
        <v>16.99134199134199</v>
      </c>
      <c r="L11" s="814" t="s">
        <v>126</v>
      </c>
    </row>
    <row r="12" spans="1:12" ht="17.25" customHeight="1" thickBot="1">
      <c r="A12" s="774" t="s">
        <v>125</v>
      </c>
      <c r="B12" s="291">
        <v>186</v>
      </c>
      <c r="C12" s="75">
        <v>2</v>
      </c>
      <c r="D12" s="75">
        <v>2</v>
      </c>
      <c r="E12" s="75">
        <v>0</v>
      </c>
      <c r="F12" s="75">
        <v>0</v>
      </c>
      <c r="G12" s="75">
        <v>0</v>
      </c>
      <c r="H12" s="75">
        <v>0</v>
      </c>
      <c r="I12" s="75">
        <v>0</v>
      </c>
      <c r="J12" s="295">
        <v>190</v>
      </c>
      <c r="K12" s="8">
        <f t="shared" si="0"/>
        <v>20.562770562770563</v>
      </c>
      <c r="L12" s="854" t="s">
        <v>125</v>
      </c>
    </row>
    <row r="13" spans="1:12" ht="17.25" customHeight="1" thickBot="1">
      <c r="A13" s="811" t="s">
        <v>124</v>
      </c>
      <c r="B13" s="291">
        <v>186</v>
      </c>
      <c r="C13" s="75">
        <v>2</v>
      </c>
      <c r="D13" s="75">
        <v>1</v>
      </c>
      <c r="E13" s="75">
        <v>2</v>
      </c>
      <c r="F13" s="75">
        <v>0</v>
      </c>
      <c r="G13" s="75">
        <v>0</v>
      </c>
      <c r="H13" s="75">
        <v>1</v>
      </c>
      <c r="I13" s="75">
        <v>0</v>
      </c>
      <c r="J13" s="295">
        <v>192</v>
      </c>
      <c r="K13" s="9">
        <f t="shared" si="0"/>
        <v>20.779220779220779</v>
      </c>
      <c r="L13" s="814" t="s">
        <v>124</v>
      </c>
    </row>
    <row r="14" spans="1:12" ht="17.25" customHeight="1" thickBot="1">
      <c r="A14" s="774" t="s">
        <v>123</v>
      </c>
      <c r="B14" s="291">
        <v>128</v>
      </c>
      <c r="C14" s="75">
        <v>0</v>
      </c>
      <c r="D14" s="75">
        <v>1</v>
      </c>
      <c r="E14" s="75">
        <v>0</v>
      </c>
      <c r="F14" s="75">
        <v>0</v>
      </c>
      <c r="G14" s="75">
        <v>1</v>
      </c>
      <c r="H14" s="75">
        <v>0</v>
      </c>
      <c r="I14" s="75">
        <v>0</v>
      </c>
      <c r="J14" s="295">
        <v>130</v>
      </c>
      <c r="K14" s="8">
        <f t="shared" si="0"/>
        <v>14.069264069264069</v>
      </c>
      <c r="L14" s="854" t="s">
        <v>123</v>
      </c>
    </row>
    <row r="15" spans="1:12" ht="17.25" customHeight="1" thickBot="1">
      <c r="A15" s="811" t="s">
        <v>122</v>
      </c>
      <c r="B15" s="291">
        <v>74</v>
      </c>
      <c r="C15" s="75">
        <v>0</v>
      </c>
      <c r="D15" s="75">
        <v>0</v>
      </c>
      <c r="E15" s="75">
        <v>0</v>
      </c>
      <c r="F15" s="75">
        <v>1</v>
      </c>
      <c r="G15" s="75">
        <v>0</v>
      </c>
      <c r="H15" s="75">
        <v>1</v>
      </c>
      <c r="I15" s="75">
        <v>0</v>
      </c>
      <c r="J15" s="295">
        <v>76</v>
      </c>
      <c r="K15" s="9">
        <f t="shared" si="0"/>
        <v>8.2251082251082241</v>
      </c>
      <c r="L15" s="814" t="s">
        <v>122</v>
      </c>
    </row>
    <row r="16" spans="1:12" ht="17.25" customHeight="1" thickBot="1">
      <c r="A16" s="774" t="s">
        <v>121</v>
      </c>
      <c r="B16" s="291">
        <v>38</v>
      </c>
      <c r="C16" s="75">
        <v>0</v>
      </c>
      <c r="D16" s="75">
        <v>0</v>
      </c>
      <c r="E16" s="75">
        <v>0</v>
      </c>
      <c r="F16" s="75">
        <v>0</v>
      </c>
      <c r="G16" s="75">
        <v>0</v>
      </c>
      <c r="H16" s="75">
        <v>0</v>
      </c>
      <c r="I16" s="75">
        <v>0</v>
      </c>
      <c r="J16" s="295">
        <v>38</v>
      </c>
      <c r="K16" s="8">
        <f t="shared" si="0"/>
        <v>4.1125541125541121</v>
      </c>
      <c r="L16" s="854" t="s">
        <v>121</v>
      </c>
    </row>
    <row r="17" spans="1:12" ht="17.25" customHeight="1" thickBot="1">
      <c r="A17" s="811" t="s">
        <v>120</v>
      </c>
      <c r="B17" s="291">
        <v>12</v>
      </c>
      <c r="C17" s="75">
        <v>0</v>
      </c>
      <c r="D17" s="75">
        <v>0</v>
      </c>
      <c r="E17" s="75">
        <v>1</v>
      </c>
      <c r="F17" s="75">
        <v>0</v>
      </c>
      <c r="G17" s="75">
        <v>0</v>
      </c>
      <c r="H17" s="75">
        <v>0</v>
      </c>
      <c r="I17" s="75">
        <v>0</v>
      </c>
      <c r="J17" s="295">
        <v>13</v>
      </c>
      <c r="K17" s="9">
        <f t="shared" si="0"/>
        <v>1.4069264069264069</v>
      </c>
      <c r="L17" s="814" t="s">
        <v>120</v>
      </c>
    </row>
    <row r="18" spans="1:12" ht="17.25" customHeight="1" thickBot="1">
      <c r="A18" s="774" t="s">
        <v>132</v>
      </c>
      <c r="B18" s="291">
        <v>7</v>
      </c>
      <c r="C18" s="75">
        <v>0</v>
      </c>
      <c r="D18" s="75">
        <v>0</v>
      </c>
      <c r="E18" s="75">
        <v>0</v>
      </c>
      <c r="F18" s="75">
        <v>0</v>
      </c>
      <c r="G18" s="75">
        <v>0</v>
      </c>
      <c r="H18" s="75">
        <v>0</v>
      </c>
      <c r="I18" s="75">
        <v>0</v>
      </c>
      <c r="J18" s="295">
        <v>7</v>
      </c>
      <c r="K18" s="8">
        <f t="shared" si="0"/>
        <v>0.75757575757575757</v>
      </c>
      <c r="L18" s="854" t="s">
        <v>132</v>
      </c>
    </row>
    <row r="19" spans="1:12" ht="17.25" customHeight="1">
      <c r="A19" s="812" t="s">
        <v>14</v>
      </c>
      <c r="B19" s="296">
        <v>33</v>
      </c>
      <c r="C19" s="297">
        <v>0</v>
      </c>
      <c r="D19" s="297">
        <v>0</v>
      </c>
      <c r="E19" s="297">
        <v>0</v>
      </c>
      <c r="F19" s="297">
        <v>1</v>
      </c>
      <c r="G19" s="297">
        <v>0</v>
      </c>
      <c r="H19" s="297">
        <v>0</v>
      </c>
      <c r="I19" s="297">
        <v>0</v>
      </c>
      <c r="J19" s="478">
        <v>34</v>
      </c>
      <c r="K19" s="156">
        <f t="shared" si="0"/>
        <v>3.6796536796536796</v>
      </c>
      <c r="L19" s="815" t="s">
        <v>15</v>
      </c>
    </row>
    <row r="20" spans="1:12" ht="18.75" customHeight="1" thickBot="1">
      <c r="A20" s="870" t="s">
        <v>16</v>
      </c>
      <c r="B20" s="288">
        <f>SUM(B9:B19)</f>
        <v>902</v>
      </c>
      <c r="C20" s="288">
        <f>SUM(C9:C19)</f>
        <v>7</v>
      </c>
      <c r="D20" s="288">
        <f t="shared" ref="D20:I20" si="1">SUM(D9:D19)</f>
        <v>6</v>
      </c>
      <c r="E20" s="288">
        <f t="shared" si="1"/>
        <v>4</v>
      </c>
      <c r="F20" s="288">
        <f t="shared" si="1"/>
        <v>2</v>
      </c>
      <c r="G20" s="288">
        <f t="shared" si="1"/>
        <v>1</v>
      </c>
      <c r="H20" s="288">
        <f t="shared" si="1"/>
        <v>2</v>
      </c>
      <c r="I20" s="288">
        <f t="shared" si="1"/>
        <v>0</v>
      </c>
      <c r="J20" s="444">
        <f>SUM(J9:J19)</f>
        <v>924</v>
      </c>
      <c r="K20" s="127">
        <f>SUM(K9:K19)</f>
        <v>99.999999999999986</v>
      </c>
      <c r="L20" s="869" t="s">
        <v>17</v>
      </c>
    </row>
    <row r="21" spans="1:12" ht="18.75" customHeight="1">
      <c r="A21" s="114" t="s">
        <v>18</v>
      </c>
      <c r="B21" s="156">
        <f>B20/$J$20%</f>
        <v>97.61904761904762</v>
      </c>
      <c r="C21" s="156">
        <f t="shared" ref="C21:I21" si="2">C20/$J$20%</f>
        <v>0.75757575757575757</v>
      </c>
      <c r="D21" s="156">
        <f t="shared" si="2"/>
        <v>0.64935064935064934</v>
      </c>
      <c r="E21" s="156">
        <f t="shared" si="2"/>
        <v>0.4329004329004329</v>
      </c>
      <c r="F21" s="156">
        <f t="shared" si="2"/>
        <v>0.21645021645021645</v>
      </c>
      <c r="G21" s="156">
        <f t="shared" si="2"/>
        <v>0.10822510822510822</v>
      </c>
      <c r="H21" s="156">
        <f t="shared" si="2"/>
        <v>0.21645021645021645</v>
      </c>
      <c r="I21" s="156">
        <f t="shared" si="2"/>
        <v>0</v>
      </c>
      <c r="J21" s="156">
        <f>SUM(B21:I21)</f>
        <v>100</v>
      </c>
      <c r="K21" s="1231" t="s">
        <v>376</v>
      </c>
      <c r="L21" s="1232"/>
    </row>
    <row r="22" spans="1:12" s="916" customFormat="1" ht="14.25">
      <c r="A22" s="918" t="s">
        <v>574</v>
      </c>
      <c r="L22" s="916" t="s">
        <v>575</v>
      </c>
    </row>
  </sheetData>
  <mergeCells count="9">
    <mergeCell ref="K21:L21"/>
    <mergeCell ref="K7:K8"/>
    <mergeCell ref="A1:L1"/>
    <mergeCell ref="A2:L2"/>
    <mergeCell ref="A3:L3"/>
    <mergeCell ref="A4:L4"/>
    <mergeCell ref="A7:A8"/>
    <mergeCell ref="B7:J7"/>
    <mergeCell ref="L7:L8"/>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L42"/>
  <sheetViews>
    <sheetView rightToLeft="1" view="pageBreakPreview" topLeftCell="A4" zoomScaleNormal="75" workbookViewId="0">
      <selection activeCell="I25" sqref="I25"/>
    </sheetView>
  </sheetViews>
  <sheetFormatPr defaultColWidth="9.140625" defaultRowHeight="12.75"/>
  <cols>
    <col min="1" max="1" width="21.42578125" style="1" customWidth="1"/>
    <col min="2" max="10" width="8.7109375" style="1" customWidth="1"/>
    <col min="11" max="11" width="11.85546875" style="1" customWidth="1"/>
    <col min="12" max="12" width="19.7109375" style="1" customWidth="1"/>
    <col min="13" max="16384" width="9.140625" style="1"/>
  </cols>
  <sheetData>
    <row r="1" spans="1:12" s="2" customFormat="1" ht="24" customHeight="1">
      <c r="A1" s="1041" t="s">
        <v>0</v>
      </c>
      <c r="B1" s="1041"/>
      <c r="C1" s="1142"/>
      <c r="D1" s="1041"/>
      <c r="E1" s="1041"/>
      <c r="F1" s="1041"/>
      <c r="G1" s="1041"/>
      <c r="H1" s="1041"/>
      <c r="I1" s="1041"/>
      <c r="J1" s="1041"/>
      <c r="K1" s="1041"/>
      <c r="L1" s="1041"/>
    </row>
    <row r="2" spans="1:12" s="3" customFormat="1" ht="18" customHeight="1">
      <c r="A2" s="1068" t="s">
        <v>524</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t="s">
        <v>1</v>
      </c>
      <c r="B4" s="1069"/>
      <c r="C4" s="1069"/>
      <c r="D4" s="1069"/>
      <c r="E4" s="1069"/>
      <c r="F4" s="1069"/>
      <c r="G4" s="1069"/>
      <c r="H4" s="1069"/>
      <c r="I4" s="1069"/>
      <c r="J4" s="1069"/>
      <c r="K4" s="1069"/>
      <c r="L4" s="1069"/>
    </row>
    <row r="5" spans="1:12" s="2" customFormat="1" ht="15.75">
      <c r="A5" s="362"/>
      <c r="B5" s="362"/>
      <c r="C5" s="362"/>
      <c r="D5" s="362"/>
      <c r="E5" s="362"/>
      <c r="F5" s="362"/>
      <c r="G5" s="362"/>
      <c r="H5" s="362"/>
      <c r="I5" s="362"/>
      <c r="J5" s="362"/>
      <c r="K5" s="362"/>
      <c r="L5" s="362"/>
    </row>
    <row r="6" spans="1:12" ht="15.75">
      <c r="A6" s="374" t="s">
        <v>475</v>
      </c>
      <c r="B6" s="378"/>
      <c r="C6" s="378"/>
      <c r="D6" s="378"/>
      <c r="E6" s="378"/>
      <c r="F6" s="378"/>
      <c r="G6" s="378"/>
      <c r="H6" s="378"/>
      <c r="I6" s="378"/>
      <c r="J6" s="378"/>
      <c r="K6" s="378"/>
      <c r="L6" s="376" t="s">
        <v>476</v>
      </c>
    </row>
    <row r="7" spans="1:12" ht="30.75" customHeight="1" thickBot="1">
      <c r="A7" s="1131" t="s">
        <v>308</v>
      </c>
      <c r="B7" s="1233" t="s">
        <v>580</v>
      </c>
      <c r="C7" s="1234"/>
      <c r="D7" s="1234"/>
      <c r="E7" s="1234"/>
      <c r="F7" s="1234"/>
      <c r="G7" s="1234"/>
      <c r="H7" s="1234"/>
      <c r="I7" s="1234"/>
      <c r="J7" s="1235"/>
      <c r="K7" s="1146" t="s">
        <v>619</v>
      </c>
      <c r="L7" s="1138" t="s">
        <v>355</v>
      </c>
    </row>
    <row r="8" spans="1:12" ht="39" customHeight="1">
      <c r="A8" s="1132"/>
      <c r="B8" s="323">
        <v>0</v>
      </c>
      <c r="C8" s="323">
        <v>1</v>
      </c>
      <c r="D8" s="323">
        <v>2</v>
      </c>
      <c r="E8" s="323">
        <v>3</v>
      </c>
      <c r="F8" s="323">
        <v>4</v>
      </c>
      <c r="G8" s="323">
        <v>5</v>
      </c>
      <c r="H8" s="323" t="s">
        <v>548</v>
      </c>
      <c r="I8" s="332" t="s">
        <v>646</v>
      </c>
      <c r="J8" s="329" t="s">
        <v>595</v>
      </c>
      <c r="K8" s="1171"/>
      <c r="L8" s="1139"/>
    </row>
    <row r="9" spans="1:12" ht="17.25" customHeight="1" thickBot="1">
      <c r="A9" s="856">
        <v>-20</v>
      </c>
      <c r="B9" s="291">
        <v>41</v>
      </c>
      <c r="C9" s="75">
        <v>0</v>
      </c>
      <c r="D9" s="75">
        <v>0</v>
      </c>
      <c r="E9" s="75">
        <v>0</v>
      </c>
      <c r="F9" s="75">
        <v>0</v>
      </c>
      <c r="G9" s="75">
        <v>0</v>
      </c>
      <c r="H9" s="75">
        <v>0</v>
      </c>
      <c r="I9" s="75">
        <v>0</v>
      </c>
      <c r="J9" s="293">
        <v>41</v>
      </c>
      <c r="K9" s="260">
        <f t="shared" ref="K9:K19" si="0">J9/$J$20%</f>
        <v>1.914992993928071</v>
      </c>
      <c r="L9" s="868">
        <v>-20</v>
      </c>
    </row>
    <row r="10" spans="1:12" ht="17.25" customHeight="1" thickBot="1">
      <c r="A10" s="774" t="s">
        <v>127</v>
      </c>
      <c r="B10" s="291">
        <v>323</v>
      </c>
      <c r="C10" s="75">
        <v>4</v>
      </c>
      <c r="D10" s="75">
        <v>0</v>
      </c>
      <c r="E10" s="75">
        <v>0</v>
      </c>
      <c r="F10" s="75">
        <v>0</v>
      </c>
      <c r="G10" s="75">
        <v>0</v>
      </c>
      <c r="H10" s="75">
        <v>0</v>
      </c>
      <c r="I10" s="75">
        <v>0</v>
      </c>
      <c r="J10" s="293">
        <v>327</v>
      </c>
      <c r="K10" s="259">
        <f t="shared" si="0"/>
        <v>15.2732368052312</v>
      </c>
      <c r="L10" s="854" t="s">
        <v>127</v>
      </c>
    </row>
    <row r="11" spans="1:12" ht="17.25" customHeight="1" thickBot="1">
      <c r="A11" s="811" t="s">
        <v>126</v>
      </c>
      <c r="B11" s="291">
        <v>433</v>
      </c>
      <c r="C11" s="75">
        <v>5</v>
      </c>
      <c r="D11" s="75">
        <v>4</v>
      </c>
      <c r="E11" s="75">
        <v>2</v>
      </c>
      <c r="F11" s="75">
        <v>0</v>
      </c>
      <c r="G11" s="75">
        <v>0</v>
      </c>
      <c r="H11" s="75">
        <v>0</v>
      </c>
      <c r="I11" s="75">
        <v>0</v>
      </c>
      <c r="J11" s="293">
        <v>444</v>
      </c>
      <c r="K11" s="298">
        <f t="shared" si="0"/>
        <v>20.737972909855209</v>
      </c>
      <c r="L11" s="814" t="s">
        <v>126</v>
      </c>
    </row>
    <row r="12" spans="1:12" ht="17.25" customHeight="1" thickBot="1">
      <c r="A12" s="774" t="s">
        <v>125</v>
      </c>
      <c r="B12" s="291">
        <v>364</v>
      </c>
      <c r="C12" s="75">
        <v>4</v>
      </c>
      <c r="D12" s="75">
        <v>3</v>
      </c>
      <c r="E12" s="75">
        <v>0</v>
      </c>
      <c r="F12" s="75">
        <v>2</v>
      </c>
      <c r="G12" s="75">
        <v>0</v>
      </c>
      <c r="H12" s="75">
        <v>0</v>
      </c>
      <c r="I12" s="75">
        <v>0</v>
      </c>
      <c r="J12" s="293">
        <v>373</v>
      </c>
      <c r="K12" s="259">
        <f t="shared" si="0"/>
        <v>17.421765530126109</v>
      </c>
      <c r="L12" s="854" t="s">
        <v>125</v>
      </c>
    </row>
    <row r="13" spans="1:12" ht="17.25" customHeight="1" thickBot="1">
      <c r="A13" s="811" t="s">
        <v>124</v>
      </c>
      <c r="B13" s="291">
        <v>350</v>
      </c>
      <c r="C13" s="75">
        <v>2</v>
      </c>
      <c r="D13" s="75">
        <v>2</v>
      </c>
      <c r="E13" s="75">
        <v>3</v>
      </c>
      <c r="F13" s="75">
        <v>0</v>
      </c>
      <c r="G13" s="75">
        <v>2</v>
      </c>
      <c r="H13" s="75">
        <v>2</v>
      </c>
      <c r="I13" s="75">
        <v>0</v>
      </c>
      <c r="J13" s="293">
        <v>361</v>
      </c>
      <c r="K13" s="298">
        <f t="shared" si="0"/>
        <v>16.861279775805698</v>
      </c>
      <c r="L13" s="814" t="s">
        <v>124</v>
      </c>
    </row>
    <row r="14" spans="1:12" ht="17.25" customHeight="1" thickBot="1">
      <c r="A14" s="774" t="s">
        <v>123</v>
      </c>
      <c r="B14" s="291">
        <v>232</v>
      </c>
      <c r="C14" s="75">
        <v>1</v>
      </c>
      <c r="D14" s="75">
        <v>1</v>
      </c>
      <c r="E14" s="75">
        <v>1</v>
      </c>
      <c r="F14" s="75">
        <v>1</v>
      </c>
      <c r="G14" s="75">
        <v>1</v>
      </c>
      <c r="H14" s="75">
        <v>0</v>
      </c>
      <c r="I14" s="75">
        <v>0</v>
      </c>
      <c r="J14" s="293">
        <v>237</v>
      </c>
      <c r="K14" s="259">
        <f t="shared" si="0"/>
        <v>11.069593647828118</v>
      </c>
      <c r="L14" s="854" t="s">
        <v>123</v>
      </c>
    </row>
    <row r="15" spans="1:12" ht="17.25" customHeight="1" thickBot="1">
      <c r="A15" s="811" t="s">
        <v>122</v>
      </c>
      <c r="B15" s="291">
        <v>150</v>
      </c>
      <c r="C15" s="75">
        <v>1</v>
      </c>
      <c r="D15" s="75">
        <v>0</v>
      </c>
      <c r="E15" s="75">
        <v>2</v>
      </c>
      <c r="F15" s="75">
        <v>1</v>
      </c>
      <c r="G15" s="75">
        <v>0</v>
      </c>
      <c r="H15" s="75">
        <v>2</v>
      </c>
      <c r="I15" s="75">
        <v>0</v>
      </c>
      <c r="J15" s="293">
        <v>156</v>
      </c>
      <c r="K15" s="298">
        <f t="shared" si="0"/>
        <v>7.2863148061653433</v>
      </c>
      <c r="L15" s="814" t="s">
        <v>122</v>
      </c>
    </row>
    <row r="16" spans="1:12" ht="17.25" customHeight="1" thickBot="1">
      <c r="A16" s="774" t="s">
        <v>121</v>
      </c>
      <c r="B16" s="291">
        <v>99</v>
      </c>
      <c r="C16" s="75">
        <v>0</v>
      </c>
      <c r="D16" s="75">
        <v>0</v>
      </c>
      <c r="E16" s="75">
        <v>0</v>
      </c>
      <c r="F16" s="75">
        <v>1</v>
      </c>
      <c r="G16" s="75">
        <v>1</v>
      </c>
      <c r="H16" s="75">
        <v>0</v>
      </c>
      <c r="I16" s="75">
        <v>0</v>
      </c>
      <c r="J16" s="293">
        <v>101</v>
      </c>
      <c r="K16" s="259">
        <f t="shared" si="0"/>
        <v>4.7174217655301263</v>
      </c>
      <c r="L16" s="854" t="s">
        <v>121</v>
      </c>
    </row>
    <row r="17" spans="1:12" ht="17.25" customHeight="1" thickBot="1">
      <c r="A17" s="811" t="s">
        <v>120</v>
      </c>
      <c r="B17" s="291">
        <v>40</v>
      </c>
      <c r="C17" s="75">
        <v>0</v>
      </c>
      <c r="D17" s="75">
        <v>0</v>
      </c>
      <c r="E17" s="75">
        <v>1</v>
      </c>
      <c r="F17" s="75">
        <v>0</v>
      </c>
      <c r="G17" s="75">
        <v>0</v>
      </c>
      <c r="H17" s="75">
        <v>1</v>
      </c>
      <c r="I17" s="75">
        <v>0</v>
      </c>
      <c r="J17" s="293">
        <v>42</v>
      </c>
      <c r="K17" s="298">
        <f t="shared" si="0"/>
        <v>1.9617001401214387</v>
      </c>
      <c r="L17" s="814" t="s">
        <v>120</v>
      </c>
    </row>
    <row r="18" spans="1:12" ht="17.25" customHeight="1" thickBot="1">
      <c r="A18" s="774" t="s">
        <v>132</v>
      </c>
      <c r="B18" s="291">
        <v>23</v>
      </c>
      <c r="C18" s="75">
        <v>0</v>
      </c>
      <c r="D18" s="75">
        <v>0</v>
      </c>
      <c r="E18" s="75">
        <v>0</v>
      </c>
      <c r="F18" s="75">
        <v>0</v>
      </c>
      <c r="G18" s="75">
        <v>0</v>
      </c>
      <c r="H18" s="75">
        <v>2</v>
      </c>
      <c r="I18" s="75">
        <v>0</v>
      </c>
      <c r="J18" s="293">
        <v>25</v>
      </c>
      <c r="K18" s="259">
        <f t="shared" si="0"/>
        <v>1.1676786548341895</v>
      </c>
      <c r="L18" s="854" t="s">
        <v>132</v>
      </c>
    </row>
    <row r="19" spans="1:12" ht="17.25" customHeight="1" thickBot="1">
      <c r="A19" s="812" t="s">
        <v>14</v>
      </c>
      <c r="B19" s="292">
        <v>33</v>
      </c>
      <c r="C19" s="286">
        <v>0</v>
      </c>
      <c r="D19" s="286">
        <v>0</v>
      </c>
      <c r="E19" s="286">
        <v>0</v>
      </c>
      <c r="F19" s="286">
        <v>1</v>
      </c>
      <c r="G19" s="286">
        <v>0</v>
      </c>
      <c r="H19" s="286">
        <v>0</v>
      </c>
      <c r="I19" s="286">
        <v>0</v>
      </c>
      <c r="J19" s="293">
        <v>34</v>
      </c>
      <c r="K19" s="299">
        <f t="shared" si="0"/>
        <v>1.5880429705744978</v>
      </c>
      <c r="L19" s="815" t="s">
        <v>15</v>
      </c>
    </row>
    <row r="20" spans="1:12" ht="18.75" customHeight="1" thickBot="1">
      <c r="A20" s="870" t="s">
        <v>16</v>
      </c>
      <c r="B20" s="126">
        <f>SUM(B9:B19)</f>
        <v>2088</v>
      </c>
      <c r="C20" s="126">
        <f t="shared" ref="C20:I20" si="1">SUM(C9:C19)</f>
        <v>17</v>
      </c>
      <c r="D20" s="126">
        <f t="shared" si="1"/>
        <v>10</v>
      </c>
      <c r="E20" s="126">
        <f t="shared" si="1"/>
        <v>9</v>
      </c>
      <c r="F20" s="126">
        <f t="shared" si="1"/>
        <v>6</v>
      </c>
      <c r="G20" s="126">
        <f t="shared" si="1"/>
        <v>4</v>
      </c>
      <c r="H20" s="126">
        <f t="shared" si="1"/>
        <v>7</v>
      </c>
      <c r="I20" s="126">
        <f t="shared" si="1"/>
        <v>0</v>
      </c>
      <c r="J20" s="126">
        <f>SUM(J9:J19)</f>
        <v>2141</v>
      </c>
      <c r="K20" s="127">
        <f t="shared" ref="K20" si="2">SUM(K9:K19)</f>
        <v>99.999999999999986</v>
      </c>
      <c r="L20" s="869" t="s">
        <v>17</v>
      </c>
    </row>
    <row r="21" spans="1:12" ht="18.75" customHeight="1">
      <c r="A21" s="114" t="s">
        <v>18</v>
      </c>
      <c r="B21" s="156">
        <f>B20/$J$20%</f>
        <v>97.524521251751523</v>
      </c>
      <c r="C21" s="156">
        <f t="shared" ref="C21:I21" si="3">C20/$J$20%</f>
        <v>0.79402148528724892</v>
      </c>
      <c r="D21" s="156">
        <f t="shared" si="3"/>
        <v>0.46707146193367582</v>
      </c>
      <c r="E21" s="156">
        <f t="shared" si="3"/>
        <v>0.42036431574030825</v>
      </c>
      <c r="F21" s="156">
        <f t="shared" si="3"/>
        <v>0.28024287716020552</v>
      </c>
      <c r="G21" s="156">
        <f t="shared" si="3"/>
        <v>0.18682858477347034</v>
      </c>
      <c r="H21" s="156">
        <f t="shared" si="3"/>
        <v>0.32695002335357309</v>
      </c>
      <c r="I21" s="156">
        <f t="shared" si="3"/>
        <v>0</v>
      </c>
      <c r="J21" s="156">
        <f>SUM(B21:I21)</f>
        <v>100</v>
      </c>
      <c r="K21" s="520"/>
      <c r="L21" s="157" t="s">
        <v>19</v>
      </c>
    </row>
    <row r="22" spans="1:12" s="916" customFormat="1" ht="17.25" customHeight="1">
      <c r="A22" s="919" t="s">
        <v>574</v>
      </c>
      <c r="L22" s="916" t="s">
        <v>575</v>
      </c>
    </row>
    <row r="30" spans="1:12">
      <c r="B30" s="1" t="s">
        <v>20</v>
      </c>
      <c r="C30" s="1" t="s">
        <v>21</v>
      </c>
    </row>
    <row r="31" spans="1:12">
      <c r="A31" s="1">
        <v>-20</v>
      </c>
      <c r="B31" s="1">
        <f>'43-1'!J9</f>
        <v>32</v>
      </c>
      <c r="C31" s="1">
        <f>'43-2'!J9</f>
        <v>9</v>
      </c>
    </row>
    <row r="32" spans="1:12">
      <c r="A32" s="1" t="s">
        <v>5</v>
      </c>
      <c r="B32" s="1">
        <f>'43-1'!J10</f>
        <v>249</v>
      </c>
      <c r="C32" s="1">
        <f>'43-2'!J10</f>
        <v>78</v>
      </c>
    </row>
    <row r="33" spans="1:4">
      <c r="A33" s="1" t="s">
        <v>6</v>
      </c>
      <c r="B33" s="1">
        <f>'43-1'!J11</f>
        <v>287</v>
      </c>
      <c r="C33" s="1">
        <f>'43-2'!J11</f>
        <v>157</v>
      </c>
    </row>
    <row r="34" spans="1:4">
      <c r="A34" s="1" t="s">
        <v>7</v>
      </c>
      <c r="B34" s="1">
        <f>'43-1'!J12</f>
        <v>183</v>
      </c>
      <c r="C34" s="1">
        <f>'43-2'!J12</f>
        <v>190</v>
      </c>
    </row>
    <row r="35" spans="1:4">
      <c r="A35" s="1" t="s">
        <v>8</v>
      </c>
      <c r="B35" s="1">
        <f>'43-1'!J13</f>
        <v>169</v>
      </c>
      <c r="C35" s="1">
        <f>'43-2'!J13</f>
        <v>192</v>
      </c>
    </row>
    <row r="36" spans="1:4">
      <c r="A36" s="1" t="s">
        <v>9</v>
      </c>
      <c r="B36" s="1">
        <f>'43-1'!J14</f>
        <v>107</v>
      </c>
      <c r="C36" s="1">
        <f>'43-2'!J14</f>
        <v>130</v>
      </c>
    </row>
    <row r="37" spans="1:4">
      <c r="A37" s="1" t="s">
        <v>10</v>
      </c>
      <c r="B37" s="1">
        <f>'43-1'!J15</f>
        <v>80</v>
      </c>
      <c r="C37" s="1">
        <f>'43-2'!J15</f>
        <v>76</v>
      </c>
    </row>
    <row r="38" spans="1:4">
      <c r="A38" s="1" t="s">
        <v>11</v>
      </c>
      <c r="B38" s="1">
        <f>'43-1'!J16</f>
        <v>63</v>
      </c>
      <c r="C38" s="1">
        <f>'43-2'!J16</f>
        <v>38</v>
      </c>
    </row>
    <row r="39" spans="1:4">
      <c r="A39" s="1" t="s">
        <v>12</v>
      </c>
      <c r="B39" s="1">
        <f>'43-1'!J17</f>
        <v>29</v>
      </c>
      <c r="C39" s="1">
        <f>'43-2'!J17</f>
        <v>13</v>
      </c>
    </row>
    <row r="40" spans="1:4">
      <c r="A40" s="1" t="s">
        <v>13</v>
      </c>
      <c r="B40" s="1">
        <f>'43-1'!J18</f>
        <v>18</v>
      </c>
      <c r="C40" s="1">
        <f>'43-2'!J18</f>
        <v>7</v>
      </c>
    </row>
    <row r="41" spans="1:4">
      <c r="A41" s="1" t="s">
        <v>14</v>
      </c>
      <c r="B41" s="1">
        <f>'43-1'!J19</f>
        <v>0</v>
      </c>
      <c r="C41" s="1">
        <f>'43-2'!J19</f>
        <v>34</v>
      </c>
    </row>
    <row r="42" spans="1:4">
      <c r="B42" s="1">
        <f>SUM(B31:B41)</f>
        <v>1217</v>
      </c>
      <c r="C42" s="1">
        <f>SUM(C31:C41)</f>
        <v>924</v>
      </c>
      <c r="D42" s="1">
        <f>B42+C42</f>
        <v>2141</v>
      </c>
    </row>
  </sheetData>
  <mergeCells count="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M44"/>
  <sheetViews>
    <sheetView rightToLeft="1" view="pageBreakPreview" zoomScale="85" zoomScaleNormal="100" zoomScaleSheetLayoutView="85" workbookViewId="0">
      <selection activeCell="P15" sqref="P15"/>
    </sheetView>
  </sheetViews>
  <sheetFormatPr defaultColWidth="9.140625" defaultRowHeight="12.75"/>
  <cols>
    <col min="1" max="16384" width="9.140625" style="1"/>
  </cols>
  <sheetData>
    <row r="1" spans="1:13" ht="38.25" customHeight="1">
      <c r="A1" s="88"/>
      <c r="B1" s="88"/>
      <c r="C1" s="88"/>
      <c r="D1" s="88"/>
      <c r="E1" s="88"/>
      <c r="F1" s="88"/>
      <c r="G1" s="88"/>
      <c r="H1" s="88"/>
      <c r="I1" s="88"/>
      <c r="J1" s="88"/>
      <c r="K1" s="88"/>
      <c r="L1" s="88"/>
      <c r="M1" s="88"/>
    </row>
    <row r="2" spans="1:13" ht="32.25" customHeight="1">
      <c r="A2" s="88"/>
      <c r="B2" s="88"/>
      <c r="C2" s="88"/>
      <c r="D2" s="88"/>
      <c r="E2" s="88"/>
      <c r="F2" s="88"/>
      <c r="G2" s="88"/>
      <c r="H2" s="88"/>
      <c r="I2" s="88"/>
      <c r="J2" s="88"/>
      <c r="K2" s="88"/>
      <c r="L2" s="88"/>
      <c r="M2" s="88"/>
    </row>
    <row r="3" spans="1:13">
      <c r="A3" s="88"/>
      <c r="B3" s="88"/>
      <c r="C3" s="88"/>
      <c r="D3" s="88"/>
      <c r="E3" s="88"/>
      <c r="F3" s="88"/>
      <c r="G3" s="88"/>
      <c r="H3" s="88"/>
      <c r="I3" s="88"/>
      <c r="J3" s="88"/>
      <c r="K3" s="88"/>
      <c r="L3" s="88"/>
      <c r="M3" s="88"/>
    </row>
    <row r="4" spans="1:13">
      <c r="A4" s="88"/>
      <c r="B4" s="88"/>
      <c r="C4" s="88"/>
      <c r="D4" s="88"/>
      <c r="E4" s="88"/>
      <c r="F4" s="88"/>
      <c r="G4" s="88"/>
      <c r="H4" s="88"/>
      <c r="I4" s="88"/>
      <c r="J4" s="88"/>
      <c r="K4" s="88"/>
      <c r="L4" s="88"/>
      <c r="M4" s="88"/>
    </row>
    <row r="5" spans="1:13">
      <c r="A5" s="88"/>
      <c r="B5" s="88"/>
      <c r="C5" s="88"/>
      <c r="D5" s="88"/>
      <c r="E5" s="88"/>
      <c r="F5" s="88"/>
      <c r="G5" s="88"/>
      <c r="H5" s="88"/>
      <c r="I5" s="88"/>
      <c r="J5" s="88"/>
      <c r="K5" s="88"/>
      <c r="L5" s="88"/>
      <c r="M5" s="88"/>
    </row>
    <row r="6" spans="1:13">
      <c r="A6" s="88"/>
      <c r="B6" s="88"/>
      <c r="C6" s="88"/>
      <c r="D6" s="88"/>
      <c r="E6" s="88"/>
      <c r="F6" s="88"/>
      <c r="G6" s="88"/>
      <c r="H6" s="88"/>
      <c r="I6" s="88"/>
      <c r="J6" s="88"/>
      <c r="K6" s="88"/>
      <c r="L6" s="88"/>
      <c r="M6" s="88"/>
    </row>
    <row r="7" spans="1:13">
      <c r="A7" s="88"/>
      <c r="B7" s="88"/>
      <c r="C7" s="88"/>
      <c r="D7" s="88"/>
      <c r="E7" s="88"/>
      <c r="F7" s="88"/>
      <c r="G7" s="88"/>
      <c r="H7" s="88"/>
      <c r="I7" s="88"/>
      <c r="J7" s="88"/>
      <c r="K7" s="88"/>
      <c r="L7" s="88"/>
      <c r="M7" s="88"/>
    </row>
    <row r="8" spans="1:13">
      <c r="A8" s="88"/>
      <c r="B8" s="88"/>
      <c r="C8" s="88"/>
      <c r="D8" s="88"/>
      <c r="E8" s="88"/>
      <c r="F8" s="88"/>
      <c r="G8" s="88"/>
      <c r="H8" s="88"/>
      <c r="I8" s="88"/>
      <c r="J8" s="88"/>
      <c r="K8" s="88"/>
      <c r="L8" s="88"/>
      <c r="M8" s="88"/>
    </row>
    <row r="9" spans="1:13">
      <c r="A9" s="88"/>
      <c r="B9" s="88"/>
      <c r="C9" s="88"/>
      <c r="D9" s="88"/>
      <c r="E9" s="88"/>
      <c r="F9" s="88"/>
      <c r="G9" s="88"/>
      <c r="H9" s="88"/>
      <c r="I9" s="88"/>
      <c r="J9" s="88"/>
      <c r="K9" s="88"/>
      <c r="L9" s="88"/>
      <c r="M9" s="88"/>
    </row>
    <row r="10" spans="1:13">
      <c r="A10" s="88"/>
      <c r="B10" s="88"/>
      <c r="C10" s="88"/>
      <c r="D10" s="88"/>
      <c r="E10" s="88"/>
      <c r="F10" s="88"/>
      <c r="G10" s="88"/>
      <c r="H10" s="88"/>
      <c r="I10" s="88"/>
      <c r="J10" s="88"/>
      <c r="K10" s="88"/>
      <c r="L10" s="88"/>
      <c r="M10" s="88"/>
    </row>
    <row r="11" spans="1:13">
      <c r="A11" s="88"/>
      <c r="B11" s="88"/>
      <c r="C11" s="88"/>
      <c r="D11" s="88"/>
      <c r="E11" s="88"/>
      <c r="F11" s="88"/>
      <c r="G11" s="88"/>
      <c r="H11" s="88"/>
      <c r="I11" s="88"/>
      <c r="J11" s="88"/>
      <c r="K11" s="88"/>
      <c r="L11" s="88"/>
      <c r="M11" s="88"/>
    </row>
    <row r="12" spans="1:13">
      <c r="A12" s="88"/>
      <c r="B12" s="88"/>
      <c r="C12" s="88"/>
      <c r="D12" s="88"/>
      <c r="E12" s="88"/>
      <c r="F12" s="88"/>
      <c r="G12" s="88"/>
      <c r="H12" s="88"/>
      <c r="I12" s="88"/>
      <c r="J12" s="88"/>
      <c r="K12" s="88"/>
      <c r="L12" s="88"/>
      <c r="M12" s="88"/>
    </row>
    <row r="13" spans="1:13">
      <c r="A13" s="88"/>
      <c r="B13" s="88"/>
      <c r="C13" s="88"/>
      <c r="D13" s="88"/>
      <c r="E13" s="88"/>
      <c r="F13" s="88"/>
      <c r="G13" s="88"/>
      <c r="H13" s="88"/>
      <c r="I13" s="88"/>
      <c r="J13" s="88"/>
      <c r="K13" s="88"/>
      <c r="L13" s="88"/>
      <c r="M13" s="88"/>
    </row>
    <row r="14" spans="1:13">
      <c r="A14" s="88"/>
      <c r="B14" s="88"/>
      <c r="C14" s="88"/>
      <c r="D14" s="88"/>
      <c r="E14" s="88"/>
      <c r="F14" s="88"/>
      <c r="G14" s="88"/>
      <c r="H14" s="88"/>
      <c r="I14" s="88"/>
      <c r="J14" s="88"/>
      <c r="K14" s="88"/>
      <c r="L14" s="88"/>
      <c r="M14" s="88"/>
    </row>
    <row r="15" spans="1:13">
      <c r="A15" s="88"/>
      <c r="B15" s="88"/>
      <c r="C15" s="88"/>
      <c r="D15" s="88"/>
      <c r="E15" s="88"/>
      <c r="F15" s="88"/>
      <c r="G15" s="88"/>
      <c r="H15" s="88"/>
      <c r="I15" s="88"/>
      <c r="J15" s="88"/>
      <c r="K15" s="88"/>
      <c r="L15" s="88"/>
      <c r="M15" s="88"/>
    </row>
    <row r="16" spans="1:13">
      <c r="A16" s="88"/>
      <c r="B16" s="88"/>
      <c r="C16" s="88"/>
      <c r="D16" s="88"/>
      <c r="E16" s="88"/>
      <c r="F16" s="88"/>
      <c r="G16" s="88"/>
      <c r="H16" s="88"/>
      <c r="I16" s="88"/>
      <c r="J16" s="88"/>
      <c r="K16" s="88"/>
      <c r="L16" s="88"/>
      <c r="M16" s="88"/>
    </row>
    <row r="17" spans="1:13">
      <c r="A17" s="88"/>
      <c r="B17" s="88"/>
      <c r="C17" s="88"/>
      <c r="D17" s="88"/>
      <c r="E17" s="88"/>
      <c r="F17" s="88"/>
      <c r="G17" s="88"/>
      <c r="H17" s="88"/>
      <c r="I17" s="88"/>
      <c r="J17" s="88"/>
      <c r="K17" s="88"/>
      <c r="L17" s="88"/>
      <c r="M17" s="88"/>
    </row>
    <row r="18" spans="1:13">
      <c r="A18" s="88"/>
      <c r="B18" s="88"/>
      <c r="C18" s="88"/>
      <c r="D18" s="88"/>
      <c r="E18" s="88"/>
      <c r="F18" s="88"/>
      <c r="G18" s="88"/>
      <c r="H18" s="88"/>
      <c r="I18" s="88"/>
      <c r="J18" s="88"/>
      <c r="K18" s="88"/>
      <c r="L18" s="88"/>
      <c r="M18" s="88"/>
    </row>
    <row r="19" spans="1:13">
      <c r="A19" s="88"/>
      <c r="B19" s="88"/>
      <c r="C19" s="88"/>
      <c r="D19" s="88"/>
      <c r="E19" s="88"/>
      <c r="F19" s="88"/>
      <c r="G19" s="88"/>
      <c r="H19" s="88"/>
      <c r="I19" s="88"/>
      <c r="J19" s="88"/>
      <c r="K19" s="88"/>
      <c r="L19" s="88"/>
      <c r="M19" s="88"/>
    </row>
    <row r="20" spans="1:13">
      <c r="A20" s="88"/>
      <c r="B20" s="88"/>
      <c r="C20" s="88"/>
      <c r="D20" s="88"/>
      <c r="E20" s="88"/>
      <c r="F20" s="88"/>
      <c r="G20" s="88"/>
      <c r="H20" s="88"/>
      <c r="I20" s="88"/>
      <c r="J20" s="88"/>
      <c r="K20" s="88"/>
      <c r="L20" s="88"/>
      <c r="M20" s="88"/>
    </row>
    <row r="21" spans="1:13">
      <c r="A21" s="88"/>
      <c r="B21" s="88"/>
      <c r="C21" s="88"/>
      <c r="D21" s="88"/>
      <c r="E21" s="88"/>
      <c r="F21" s="88"/>
      <c r="G21" s="88"/>
      <c r="H21" s="88"/>
      <c r="I21" s="88"/>
      <c r="J21" s="88"/>
      <c r="K21" s="88"/>
      <c r="L21" s="88"/>
      <c r="M21" s="88"/>
    </row>
    <row r="22" spans="1:13">
      <c r="A22" s="88"/>
      <c r="B22" s="88"/>
      <c r="C22" s="88"/>
      <c r="D22" s="88"/>
      <c r="E22" s="88"/>
      <c r="F22" s="88"/>
      <c r="G22" s="88"/>
      <c r="H22" s="88"/>
      <c r="I22" s="88"/>
      <c r="J22" s="88"/>
      <c r="K22" s="88"/>
      <c r="L22" s="88"/>
      <c r="M22" s="88"/>
    </row>
    <row r="23" spans="1:13">
      <c r="A23" s="88"/>
      <c r="B23" s="88"/>
      <c r="C23" s="88"/>
      <c r="D23" s="88"/>
      <c r="E23" s="88"/>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ht="15.75">
      <c r="A37" s="1052" t="s">
        <v>32</v>
      </c>
      <c r="B37" s="1052"/>
      <c r="C37" s="1052"/>
      <c r="D37" s="1052"/>
      <c r="E37" s="1052"/>
      <c r="F37" s="1052"/>
      <c r="G37" s="1052"/>
      <c r="H37" s="1052"/>
      <c r="I37" s="1052"/>
      <c r="J37" s="1052"/>
      <c r="K37" s="1052"/>
      <c r="L37" s="1052"/>
      <c r="M37" s="1052"/>
    </row>
    <row r="44" spans="1:13">
      <c r="F44" s="1" t="s">
        <v>553</v>
      </c>
    </row>
  </sheetData>
  <mergeCells count="1">
    <mergeCell ref="A37:M37"/>
  </mergeCells>
  <printOptions horizontalCentered="1" verticalCentered="1"/>
  <pageMargins left="0" right="0" top="0" bottom="0" header="0" footer="0"/>
  <pageSetup paperSize="9" orientation="landscape"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O26"/>
  <sheetViews>
    <sheetView rightToLeft="1" view="pageBreakPreview" zoomScaleNormal="75" workbookViewId="0">
      <selection activeCell="A3" sqref="A3:N3"/>
    </sheetView>
  </sheetViews>
  <sheetFormatPr defaultColWidth="9.140625" defaultRowHeight="12.75"/>
  <cols>
    <col min="1" max="1" width="16.85546875" style="2" customWidth="1"/>
    <col min="2" max="2" width="11.7109375" style="2" customWidth="1"/>
    <col min="3" max="9" width="7.7109375" style="2" customWidth="1"/>
    <col min="10" max="10" width="9.5703125" style="2" customWidth="1"/>
    <col min="11" max="12" width="10.7109375" style="2" customWidth="1"/>
    <col min="13" max="13" width="11.85546875" style="174" customWidth="1"/>
    <col min="14" max="14" width="24.7109375" style="2" customWidth="1"/>
    <col min="15" max="16384" width="9.140625" style="2"/>
  </cols>
  <sheetData>
    <row r="1" spans="1:15" ht="18">
      <c r="A1" s="1041" t="s">
        <v>23</v>
      </c>
      <c r="B1" s="1041"/>
      <c r="C1" s="1041"/>
      <c r="D1" s="1142"/>
      <c r="E1" s="1041"/>
      <c r="F1" s="1041"/>
      <c r="G1" s="1041"/>
      <c r="H1" s="1041"/>
      <c r="I1" s="1041"/>
      <c r="J1" s="1041"/>
      <c r="K1" s="1041"/>
      <c r="L1" s="1041"/>
      <c r="M1" s="1041"/>
      <c r="N1" s="1041"/>
    </row>
    <row r="2" spans="1:15" s="3" customFormat="1" ht="18" customHeight="1">
      <c r="A2" s="1068" t="s">
        <v>544</v>
      </c>
      <c r="B2" s="1068"/>
      <c r="C2" s="1068"/>
      <c r="D2" s="1068"/>
      <c r="E2" s="1068"/>
      <c r="F2" s="1068"/>
      <c r="G2" s="1068"/>
      <c r="H2" s="1068"/>
      <c r="I2" s="1068"/>
      <c r="J2" s="1068"/>
      <c r="K2" s="1068"/>
      <c r="L2" s="1068"/>
      <c r="M2" s="1068"/>
      <c r="N2" s="1068"/>
    </row>
    <row r="3" spans="1:15" ht="15.75">
      <c r="A3" s="1069">
        <v>2021</v>
      </c>
      <c r="B3" s="1069"/>
      <c r="C3" s="1069"/>
      <c r="D3" s="1069"/>
      <c r="E3" s="1069"/>
      <c r="F3" s="1069"/>
      <c r="G3" s="1069"/>
      <c r="H3" s="1069"/>
      <c r="I3" s="1069"/>
      <c r="J3" s="1069"/>
      <c r="K3" s="1069"/>
      <c r="L3" s="1069"/>
      <c r="M3" s="1069"/>
      <c r="N3" s="1069"/>
    </row>
    <row r="4" spans="1:15" ht="15.75">
      <c r="A4" s="1069"/>
      <c r="B4" s="1069"/>
      <c r="C4" s="1069"/>
      <c r="D4" s="1069"/>
      <c r="E4" s="1069"/>
      <c r="F4" s="1069"/>
      <c r="G4" s="1069"/>
      <c r="H4" s="1069"/>
      <c r="I4" s="1069"/>
      <c r="J4" s="1069"/>
      <c r="K4" s="1069"/>
      <c r="L4" s="1069"/>
      <c r="M4" s="1069"/>
      <c r="N4" s="1069"/>
    </row>
    <row r="5" spans="1:15" ht="15.75">
      <c r="A5" s="374" t="s">
        <v>516</v>
      </c>
      <c r="B5" s="374"/>
      <c r="C5" s="379"/>
      <c r="D5" s="379"/>
      <c r="E5" s="379"/>
      <c r="F5" s="379"/>
      <c r="G5" s="379"/>
      <c r="H5" s="379"/>
      <c r="I5" s="379"/>
      <c r="J5" s="379"/>
      <c r="K5" s="379"/>
      <c r="L5" s="379"/>
      <c r="M5" s="380"/>
      <c r="N5" s="376" t="s">
        <v>517</v>
      </c>
      <c r="O5" s="166"/>
    </row>
    <row r="6" spans="1:15" ht="30.75" customHeight="1" thickBot="1">
      <c r="A6" s="1131" t="s">
        <v>245</v>
      </c>
      <c r="B6" s="1146" t="s">
        <v>286</v>
      </c>
      <c r="C6" s="1233" t="s">
        <v>580</v>
      </c>
      <c r="D6" s="1234"/>
      <c r="E6" s="1234"/>
      <c r="F6" s="1234"/>
      <c r="G6" s="1234"/>
      <c r="H6" s="1234"/>
      <c r="I6" s="1234"/>
      <c r="J6" s="1234"/>
      <c r="K6" s="1235"/>
      <c r="L6" s="1146" t="s">
        <v>651</v>
      </c>
      <c r="M6" s="1169" t="s">
        <v>285</v>
      </c>
      <c r="N6" s="1138" t="s">
        <v>284</v>
      </c>
      <c r="O6" s="166"/>
    </row>
    <row r="7" spans="1:15" ht="37.5" customHeight="1">
      <c r="A7" s="1140"/>
      <c r="B7" s="1147"/>
      <c r="C7" s="323">
        <v>0</v>
      </c>
      <c r="D7" s="323">
        <v>1</v>
      </c>
      <c r="E7" s="323">
        <v>2</v>
      </c>
      <c r="F7" s="323">
        <v>3</v>
      </c>
      <c r="G7" s="323">
        <v>4</v>
      </c>
      <c r="H7" s="323">
        <v>5</v>
      </c>
      <c r="I7" s="323" t="s">
        <v>548</v>
      </c>
      <c r="J7" s="332" t="s">
        <v>646</v>
      </c>
      <c r="K7" s="329" t="s">
        <v>595</v>
      </c>
      <c r="L7" s="1171"/>
      <c r="M7" s="1170"/>
      <c r="N7" s="1141"/>
      <c r="O7" s="166"/>
    </row>
    <row r="8" spans="1:15" ht="25.5" customHeight="1" thickBot="1">
      <c r="A8" s="1164" t="s">
        <v>273</v>
      </c>
      <c r="B8" s="816" t="s">
        <v>278</v>
      </c>
      <c r="C8" s="187">
        <v>1106</v>
      </c>
      <c r="D8" s="186">
        <v>10</v>
      </c>
      <c r="E8" s="186">
        <v>4</v>
      </c>
      <c r="F8" s="186">
        <v>4</v>
      </c>
      <c r="G8" s="186">
        <v>4</v>
      </c>
      <c r="H8" s="186">
        <v>3</v>
      </c>
      <c r="I8" s="186">
        <v>5</v>
      </c>
      <c r="J8" s="186">
        <v>0</v>
      </c>
      <c r="K8" s="300">
        <f>SUM(C8:J8)</f>
        <v>1136</v>
      </c>
      <c r="L8" s="426">
        <f>K8/$K$16%</f>
        <v>53.05931807566558</v>
      </c>
      <c r="M8" s="819" t="s">
        <v>277</v>
      </c>
      <c r="N8" s="1188" t="s">
        <v>283</v>
      </c>
      <c r="O8" s="166"/>
    </row>
    <row r="9" spans="1:15" ht="25.5" customHeight="1" thickBot="1">
      <c r="A9" s="1165"/>
      <c r="B9" s="817" t="s">
        <v>276</v>
      </c>
      <c r="C9" s="182">
        <v>0</v>
      </c>
      <c r="D9" s="176">
        <v>10</v>
      </c>
      <c r="E9" s="176">
        <v>8</v>
      </c>
      <c r="F9" s="176">
        <v>12</v>
      </c>
      <c r="G9" s="176">
        <v>16</v>
      </c>
      <c r="H9" s="176">
        <v>15</v>
      </c>
      <c r="I9" s="176">
        <v>41</v>
      </c>
      <c r="J9" s="176">
        <v>0</v>
      </c>
      <c r="K9" s="300">
        <f>SUM(C9:J9)</f>
        <v>102</v>
      </c>
      <c r="L9" s="432">
        <f>K9/$K$17%</f>
        <v>62.195121951219512</v>
      </c>
      <c r="M9" s="820" t="s">
        <v>275</v>
      </c>
      <c r="N9" s="1189"/>
      <c r="O9" s="166"/>
    </row>
    <row r="10" spans="1:15" ht="25.5" customHeight="1" thickBot="1">
      <c r="A10" s="1166" t="s">
        <v>282</v>
      </c>
      <c r="B10" s="818" t="s">
        <v>278</v>
      </c>
      <c r="C10" s="183">
        <v>183</v>
      </c>
      <c r="D10" s="177">
        <v>0</v>
      </c>
      <c r="E10" s="177">
        <v>2</v>
      </c>
      <c r="F10" s="177">
        <v>1</v>
      </c>
      <c r="G10" s="177">
        <v>0</v>
      </c>
      <c r="H10" s="177">
        <v>0</v>
      </c>
      <c r="I10" s="177">
        <v>2</v>
      </c>
      <c r="J10" s="177">
        <v>0</v>
      </c>
      <c r="K10" s="467">
        <f t="shared" ref="K10:K15" si="0">SUM(C10:J10)</f>
        <v>188</v>
      </c>
      <c r="L10" s="468">
        <f>K10/$K$16%</f>
        <v>8.7809434843531058</v>
      </c>
      <c r="M10" s="821" t="s">
        <v>277</v>
      </c>
      <c r="N10" s="1182" t="s">
        <v>281</v>
      </c>
      <c r="O10" s="166"/>
    </row>
    <row r="11" spans="1:15" ht="25.5" customHeight="1" thickBot="1">
      <c r="A11" s="1166"/>
      <c r="B11" s="818" t="s">
        <v>276</v>
      </c>
      <c r="C11" s="183">
        <v>0</v>
      </c>
      <c r="D11" s="177">
        <v>0</v>
      </c>
      <c r="E11" s="177">
        <v>4</v>
      </c>
      <c r="F11" s="177">
        <v>3</v>
      </c>
      <c r="G11" s="177">
        <v>0</v>
      </c>
      <c r="H11" s="177">
        <v>0</v>
      </c>
      <c r="I11" s="177">
        <v>15</v>
      </c>
      <c r="J11" s="177">
        <v>0</v>
      </c>
      <c r="K11" s="467">
        <f t="shared" si="0"/>
        <v>22</v>
      </c>
      <c r="L11" s="469">
        <f>K11/$K$17%</f>
        <v>13.414634146341465</v>
      </c>
      <c r="M11" s="821" t="s">
        <v>275</v>
      </c>
      <c r="N11" s="1182"/>
      <c r="O11" s="166"/>
    </row>
    <row r="12" spans="1:15" ht="25.5" customHeight="1" thickBot="1">
      <c r="A12" s="1165" t="s">
        <v>271</v>
      </c>
      <c r="B12" s="817" t="s">
        <v>278</v>
      </c>
      <c r="C12" s="182">
        <v>80</v>
      </c>
      <c r="D12" s="176">
        <v>0</v>
      </c>
      <c r="E12" s="176">
        <v>0</v>
      </c>
      <c r="F12" s="176">
        <v>1</v>
      </c>
      <c r="G12" s="176">
        <v>0</v>
      </c>
      <c r="H12" s="176">
        <v>0</v>
      </c>
      <c r="I12" s="176">
        <v>0</v>
      </c>
      <c r="J12" s="176">
        <v>0</v>
      </c>
      <c r="K12" s="300">
        <f t="shared" si="0"/>
        <v>81</v>
      </c>
      <c r="L12" s="431">
        <f>K12/$K$16%</f>
        <v>3.7832788416627743</v>
      </c>
      <c r="M12" s="820" t="s">
        <v>277</v>
      </c>
      <c r="N12" s="1189" t="s">
        <v>280</v>
      </c>
      <c r="O12" s="166"/>
    </row>
    <row r="13" spans="1:15" ht="25.5" customHeight="1" thickBot="1">
      <c r="A13" s="1165"/>
      <c r="B13" s="817" t="s">
        <v>276</v>
      </c>
      <c r="C13" s="182">
        <v>0</v>
      </c>
      <c r="D13" s="176">
        <v>0</v>
      </c>
      <c r="E13" s="176">
        <v>0</v>
      </c>
      <c r="F13" s="176">
        <v>3</v>
      </c>
      <c r="G13" s="176">
        <v>0</v>
      </c>
      <c r="H13" s="176">
        <v>0</v>
      </c>
      <c r="I13" s="176">
        <v>0</v>
      </c>
      <c r="J13" s="176">
        <v>0</v>
      </c>
      <c r="K13" s="300">
        <f t="shared" si="0"/>
        <v>3</v>
      </c>
      <c r="L13" s="432">
        <f>K13/$K$17%</f>
        <v>1.8292682926829269</v>
      </c>
      <c r="M13" s="820" t="s">
        <v>275</v>
      </c>
      <c r="N13" s="1189"/>
    </row>
    <row r="14" spans="1:15" ht="25.5" customHeight="1" thickBot="1">
      <c r="A14" s="1166" t="s">
        <v>270</v>
      </c>
      <c r="B14" s="818" t="s">
        <v>278</v>
      </c>
      <c r="C14" s="183">
        <v>719</v>
      </c>
      <c r="D14" s="177">
        <v>7</v>
      </c>
      <c r="E14" s="177">
        <v>4</v>
      </c>
      <c r="F14" s="177">
        <v>3</v>
      </c>
      <c r="G14" s="177">
        <v>2</v>
      </c>
      <c r="H14" s="177">
        <v>1</v>
      </c>
      <c r="I14" s="177">
        <v>0</v>
      </c>
      <c r="J14" s="177">
        <v>0</v>
      </c>
      <c r="K14" s="467">
        <f t="shared" si="0"/>
        <v>736</v>
      </c>
      <c r="L14" s="468">
        <f>K14/$K$16%</f>
        <v>34.37645959831854</v>
      </c>
      <c r="M14" s="821" t="s">
        <v>277</v>
      </c>
      <c r="N14" s="1182" t="s">
        <v>279</v>
      </c>
    </row>
    <row r="15" spans="1:15" ht="25.5" customHeight="1">
      <c r="A15" s="1167"/>
      <c r="B15" s="776" t="s">
        <v>276</v>
      </c>
      <c r="C15" s="184">
        <v>0</v>
      </c>
      <c r="D15" s="178">
        <v>7</v>
      </c>
      <c r="E15" s="178">
        <v>8</v>
      </c>
      <c r="F15" s="178">
        <v>9</v>
      </c>
      <c r="G15" s="178">
        <v>8</v>
      </c>
      <c r="H15" s="178">
        <v>5</v>
      </c>
      <c r="I15" s="178">
        <v>0</v>
      </c>
      <c r="J15" s="178">
        <v>0</v>
      </c>
      <c r="K15" s="470">
        <f t="shared" si="0"/>
        <v>37</v>
      </c>
      <c r="L15" s="471">
        <f>K15/$K$17%</f>
        <v>22.560975609756099</v>
      </c>
      <c r="M15" s="822" t="s">
        <v>275</v>
      </c>
      <c r="N15" s="1236"/>
    </row>
    <row r="16" spans="1:15" ht="22.5" customHeight="1" thickBot="1">
      <c r="A16" s="1158" t="s">
        <v>187</v>
      </c>
      <c r="B16" s="816" t="s">
        <v>278</v>
      </c>
      <c r="C16" s="521">
        <f>C14+C12+C10+C8</f>
        <v>2088</v>
      </c>
      <c r="D16" s="521">
        <f t="shared" ref="D16:J16" si="1">D14+D12+D10+D8</f>
        <v>17</v>
      </c>
      <c r="E16" s="521">
        <f t="shared" si="1"/>
        <v>10</v>
      </c>
      <c r="F16" s="521">
        <f t="shared" si="1"/>
        <v>9</v>
      </c>
      <c r="G16" s="521">
        <f t="shared" si="1"/>
        <v>6</v>
      </c>
      <c r="H16" s="521">
        <f t="shared" si="1"/>
        <v>4</v>
      </c>
      <c r="I16" s="521">
        <f t="shared" si="1"/>
        <v>7</v>
      </c>
      <c r="J16" s="521">
        <f t="shared" si="1"/>
        <v>0</v>
      </c>
      <c r="K16" s="521">
        <f>K8+K10+K12+K14</f>
        <v>2141</v>
      </c>
      <c r="L16" s="524">
        <f>L8+L10+L12+L14</f>
        <v>100</v>
      </c>
      <c r="M16" s="819" t="s">
        <v>277</v>
      </c>
      <c r="N16" s="1156" t="s">
        <v>17</v>
      </c>
    </row>
    <row r="17" spans="1:14" ht="22.5" customHeight="1">
      <c r="A17" s="1159"/>
      <c r="B17" s="420" t="s">
        <v>276</v>
      </c>
      <c r="C17" s="522">
        <f>C15+C13+C11+C9</f>
        <v>0</v>
      </c>
      <c r="D17" s="522">
        <f t="shared" ref="D17:J17" si="2">D15+D13+D11+D9</f>
        <v>17</v>
      </c>
      <c r="E17" s="522">
        <f t="shared" si="2"/>
        <v>20</v>
      </c>
      <c r="F17" s="522">
        <f t="shared" si="2"/>
        <v>27</v>
      </c>
      <c r="G17" s="522">
        <f t="shared" si="2"/>
        <v>24</v>
      </c>
      <c r="H17" s="522">
        <f t="shared" si="2"/>
        <v>20</v>
      </c>
      <c r="I17" s="522">
        <f t="shared" si="2"/>
        <v>56</v>
      </c>
      <c r="J17" s="522">
        <f t="shared" si="2"/>
        <v>0</v>
      </c>
      <c r="K17" s="523">
        <f>K9+K11+K13+K15</f>
        <v>164</v>
      </c>
      <c r="L17" s="525">
        <f t="shared" ref="L17" si="3">L9+L11+L13+L15</f>
        <v>100</v>
      </c>
      <c r="M17" s="421" t="s">
        <v>275</v>
      </c>
      <c r="N17" s="1157"/>
    </row>
    <row r="18" spans="1:14" s="916" customFormat="1" ht="17.25" customHeight="1">
      <c r="A18" s="918" t="s">
        <v>574</v>
      </c>
      <c r="M18" s="917"/>
      <c r="N18" s="916" t="s">
        <v>575</v>
      </c>
    </row>
    <row r="21" spans="1:14">
      <c r="A21" s="1"/>
      <c r="B21" s="1"/>
    </row>
    <row r="22" spans="1:14" ht="39" thickBot="1">
      <c r="A22" s="1"/>
      <c r="B22" s="12" t="s">
        <v>274</v>
      </c>
      <c r="C22" s="12" t="s">
        <v>527</v>
      </c>
    </row>
    <row r="23" spans="1:14" ht="75.75" thickBot="1">
      <c r="A23" s="63" t="s">
        <v>530</v>
      </c>
      <c r="B23" s="94">
        <f>K8</f>
        <v>1136</v>
      </c>
      <c r="C23" s="1">
        <f>K9</f>
        <v>102</v>
      </c>
    </row>
    <row r="24" spans="1:14" ht="90.75" thickBot="1">
      <c r="A24" s="63" t="s">
        <v>531</v>
      </c>
      <c r="B24" s="1">
        <f>K10</f>
        <v>188</v>
      </c>
      <c r="C24" s="1">
        <f>K11</f>
        <v>22</v>
      </c>
    </row>
    <row r="25" spans="1:14" ht="75.75" thickBot="1">
      <c r="A25" s="63" t="s">
        <v>532</v>
      </c>
      <c r="B25" s="1">
        <f>K12</f>
        <v>81</v>
      </c>
      <c r="C25" s="1">
        <f>K13</f>
        <v>3</v>
      </c>
    </row>
    <row r="26" spans="1:14" ht="90">
      <c r="A26" s="63" t="s">
        <v>533</v>
      </c>
      <c r="B26" s="1">
        <f>K14</f>
        <v>736</v>
      </c>
      <c r="C26" s="1">
        <f>K15</f>
        <v>37</v>
      </c>
    </row>
  </sheetData>
  <mergeCells count="20">
    <mergeCell ref="A8:A9"/>
    <mergeCell ref="N8:N9"/>
    <mergeCell ref="A1:N1"/>
    <mergeCell ref="A2:N2"/>
    <mergeCell ref="A3:N3"/>
    <mergeCell ref="A4:N4"/>
    <mergeCell ref="A6:A7"/>
    <mergeCell ref="B6:B7"/>
    <mergeCell ref="C6:K6"/>
    <mergeCell ref="M6:M7"/>
    <mergeCell ref="N6:N7"/>
    <mergeCell ref="L6:L7"/>
    <mergeCell ref="A16:A17"/>
    <mergeCell ref="N16:N17"/>
    <mergeCell ref="A10:A11"/>
    <mergeCell ref="N10:N11"/>
    <mergeCell ref="A12:A13"/>
    <mergeCell ref="N12:N13"/>
    <mergeCell ref="A14:A15"/>
    <mergeCell ref="N14:N15"/>
  </mergeCells>
  <printOptions horizontalCentered="1" verticalCentered="1"/>
  <pageMargins left="0" right="0" top="0" bottom="0" header="0" footer="0"/>
  <pageSetup paperSize="9" scale="88" orientation="landscape" r:id="rId1"/>
  <headerFooter alignWithMargins="0"/>
  <drawing r:id="rId2"/>
  <tableParts count="1">
    <tablePart r:id="rId3"/>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33:M33"/>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3" spans="1:13" ht="15.75">
      <c r="A33" s="1070" t="s">
        <v>379</v>
      </c>
      <c r="B33" s="1070"/>
      <c r="C33" s="1070"/>
      <c r="D33" s="1070"/>
      <c r="E33" s="1070"/>
      <c r="F33" s="1070"/>
      <c r="G33" s="1070"/>
      <c r="H33" s="1070"/>
      <c r="I33" s="1070"/>
      <c r="J33" s="1070"/>
      <c r="K33" s="1070"/>
      <c r="L33" s="1070"/>
      <c r="M33" s="1070"/>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L21"/>
  <sheetViews>
    <sheetView rightToLeft="1" view="pageBreakPreview" topLeftCell="A7" zoomScaleNormal="75" zoomScaleSheetLayoutView="100" workbookViewId="0">
      <selection activeCell="H25" sqref="H25"/>
    </sheetView>
  </sheetViews>
  <sheetFormatPr defaultColWidth="9.140625" defaultRowHeight="12.75"/>
  <cols>
    <col min="1" max="1" width="20" style="82" customWidth="1"/>
    <col min="2" max="11" width="10.28515625" style="1" customWidth="1"/>
    <col min="12" max="12" width="20.7109375" style="82" customWidth="1"/>
    <col min="13" max="16384" width="9.140625" style="1"/>
  </cols>
  <sheetData>
    <row r="1" spans="1:12" s="2" customFormat="1" ht="24" customHeight="1">
      <c r="A1" s="1041" t="s">
        <v>22</v>
      </c>
      <c r="B1" s="1041"/>
      <c r="C1" s="1041"/>
      <c r="D1" s="1041"/>
      <c r="E1" s="1041"/>
      <c r="F1" s="1041"/>
      <c r="G1" s="1041"/>
      <c r="H1" s="1041"/>
      <c r="I1" s="1041"/>
      <c r="J1" s="1041"/>
      <c r="K1" s="1041"/>
      <c r="L1" s="1041"/>
    </row>
    <row r="2" spans="1:12" s="3" customFormat="1" ht="36" customHeight="1">
      <c r="A2" s="1068" t="s">
        <v>551</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c r="B4" s="1069"/>
      <c r="C4" s="1069"/>
      <c r="D4" s="1069"/>
      <c r="E4" s="1069"/>
      <c r="F4" s="1069"/>
      <c r="G4" s="1069"/>
      <c r="H4" s="1069"/>
      <c r="I4" s="1069"/>
      <c r="J4" s="1069"/>
      <c r="K4" s="1069"/>
      <c r="L4" s="1069"/>
    </row>
    <row r="5" spans="1:12" ht="15.75">
      <c r="A5" s="381" t="s">
        <v>479</v>
      </c>
      <c r="B5" s="378"/>
      <c r="C5" s="378"/>
      <c r="D5" s="378"/>
      <c r="E5" s="378"/>
      <c r="F5" s="378"/>
      <c r="G5" s="378"/>
      <c r="H5" s="378"/>
      <c r="I5" s="378"/>
      <c r="J5" s="378"/>
      <c r="K5" s="378"/>
      <c r="L5" s="382" t="s">
        <v>480</v>
      </c>
    </row>
    <row r="6" spans="1:12" ht="63.75" customHeight="1">
      <c r="A6" s="1237" t="s">
        <v>381</v>
      </c>
      <c r="B6" s="1241" t="s">
        <v>633</v>
      </c>
      <c r="C6" s="1242"/>
      <c r="D6" s="1241" t="s">
        <v>634</v>
      </c>
      <c r="E6" s="1242"/>
      <c r="F6" s="1241" t="s">
        <v>635</v>
      </c>
      <c r="G6" s="1242"/>
      <c r="H6" s="1241" t="s">
        <v>636</v>
      </c>
      <c r="I6" s="1242"/>
      <c r="J6" s="1243" t="s">
        <v>652</v>
      </c>
      <c r="K6" s="1244"/>
      <c r="L6" s="1239" t="s">
        <v>380</v>
      </c>
    </row>
    <row r="7" spans="1:12" ht="39.75">
      <c r="A7" s="1238"/>
      <c r="B7" s="160" t="s">
        <v>653</v>
      </c>
      <c r="C7" s="160" t="s">
        <v>654</v>
      </c>
      <c r="D7" s="160" t="s">
        <v>653</v>
      </c>
      <c r="E7" s="160" t="s">
        <v>654</v>
      </c>
      <c r="F7" s="160" t="s">
        <v>653</v>
      </c>
      <c r="G7" s="160" t="s">
        <v>654</v>
      </c>
      <c r="H7" s="160" t="s">
        <v>653</v>
      </c>
      <c r="I7" s="160" t="s">
        <v>654</v>
      </c>
      <c r="J7" s="160" t="s">
        <v>653</v>
      </c>
      <c r="K7" s="160" t="s">
        <v>654</v>
      </c>
      <c r="L7" s="1240"/>
    </row>
    <row r="8" spans="1:12" ht="29.25" customHeight="1" thickBot="1">
      <c r="A8" s="83" t="s">
        <v>316</v>
      </c>
      <c r="B8" s="20">
        <v>0</v>
      </c>
      <c r="C8" s="20">
        <v>244</v>
      </c>
      <c r="D8" s="20">
        <v>0</v>
      </c>
      <c r="E8" s="20">
        <v>27</v>
      </c>
      <c r="F8" s="20">
        <v>0</v>
      </c>
      <c r="G8" s="20">
        <v>10</v>
      </c>
      <c r="H8" s="20">
        <v>0</v>
      </c>
      <c r="I8" s="20">
        <v>66</v>
      </c>
      <c r="J8" s="19">
        <v>0</v>
      </c>
      <c r="K8" s="19">
        <v>347</v>
      </c>
      <c r="L8" s="842" t="s">
        <v>315</v>
      </c>
    </row>
    <row r="9" spans="1:12" ht="18.75" customHeight="1" thickBot="1">
      <c r="A9" s="115" t="s">
        <v>427</v>
      </c>
      <c r="B9" s="227">
        <v>0</v>
      </c>
      <c r="C9" s="227">
        <v>517</v>
      </c>
      <c r="D9" s="227">
        <v>0</v>
      </c>
      <c r="E9" s="227">
        <v>90</v>
      </c>
      <c r="F9" s="227">
        <v>0</v>
      </c>
      <c r="G9" s="227">
        <v>45</v>
      </c>
      <c r="H9" s="227">
        <v>0</v>
      </c>
      <c r="I9" s="227">
        <v>385</v>
      </c>
      <c r="J9" s="19">
        <v>0</v>
      </c>
      <c r="K9" s="19">
        <v>1037</v>
      </c>
      <c r="L9" s="842" t="s">
        <v>427</v>
      </c>
    </row>
    <row r="10" spans="1:12" ht="18.75" customHeight="1" thickBot="1">
      <c r="A10" s="115" t="s">
        <v>428</v>
      </c>
      <c r="B10" s="227">
        <v>1</v>
      </c>
      <c r="C10" s="227">
        <v>59</v>
      </c>
      <c r="D10" s="227">
        <v>2</v>
      </c>
      <c r="E10" s="227">
        <v>4</v>
      </c>
      <c r="F10" s="227">
        <v>0</v>
      </c>
      <c r="G10" s="227">
        <v>1</v>
      </c>
      <c r="H10" s="227">
        <v>1</v>
      </c>
      <c r="I10" s="227">
        <v>29</v>
      </c>
      <c r="J10" s="19">
        <v>4</v>
      </c>
      <c r="K10" s="19">
        <v>93</v>
      </c>
      <c r="L10" s="842" t="s">
        <v>428</v>
      </c>
    </row>
    <row r="11" spans="1:12" ht="18.75" customHeight="1" thickBot="1">
      <c r="A11" s="115" t="s">
        <v>429</v>
      </c>
      <c r="B11" s="227">
        <v>2</v>
      </c>
      <c r="C11" s="227">
        <v>30</v>
      </c>
      <c r="D11" s="227">
        <v>0</v>
      </c>
      <c r="E11" s="227">
        <v>8</v>
      </c>
      <c r="F11" s="227">
        <v>0</v>
      </c>
      <c r="G11" s="227">
        <v>2</v>
      </c>
      <c r="H11" s="227">
        <v>1</v>
      </c>
      <c r="I11" s="227">
        <v>17</v>
      </c>
      <c r="J11" s="19">
        <v>3</v>
      </c>
      <c r="K11" s="19">
        <v>57</v>
      </c>
      <c r="L11" s="842" t="s">
        <v>429</v>
      </c>
    </row>
    <row r="12" spans="1:12" ht="18.75" customHeight="1" thickBot="1">
      <c r="A12" s="115" t="s">
        <v>418</v>
      </c>
      <c r="B12" s="227">
        <v>3</v>
      </c>
      <c r="C12" s="227">
        <v>31</v>
      </c>
      <c r="D12" s="227">
        <v>0</v>
      </c>
      <c r="E12" s="227">
        <v>1</v>
      </c>
      <c r="F12" s="227">
        <v>0</v>
      </c>
      <c r="G12" s="227">
        <v>0</v>
      </c>
      <c r="H12" s="227">
        <v>2</v>
      </c>
      <c r="I12" s="227">
        <v>34</v>
      </c>
      <c r="J12" s="19">
        <v>5</v>
      </c>
      <c r="K12" s="19">
        <v>66</v>
      </c>
      <c r="L12" s="842" t="s">
        <v>418</v>
      </c>
    </row>
    <row r="13" spans="1:12" ht="18.75" customHeight="1" thickBot="1">
      <c r="A13" s="115" t="s">
        <v>24</v>
      </c>
      <c r="B13" s="227">
        <v>4</v>
      </c>
      <c r="C13" s="227">
        <v>26</v>
      </c>
      <c r="D13" s="227">
        <v>3</v>
      </c>
      <c r="E13" s="227">
        <v>12</v>
      </c>
      <c r="F13" s="227">
        <v>0</v>
      </c>
      <c r="G13" s="227">
        <v>3</v>
      </c>
      <c r="H13" s="227">
        <v>1</v>
      </c>
      <c r="I13" s="227">
        <v>20</v>
      </c>
      <c r="J13" s="19">
        <v>8</v>
      </c>
      <c r="K13" s="19">
        <v>61</v>
      </c>
      <c r="L13" s="842" t="s">
        <v>24</v>
      </c>
    </row>
    <row r="14" spans="1:12" ht="18.75" customHeight="1" thickBot="1">
      <c r="A14" s="115" t="s">
        <v>314</v>
      </c>
      <c r="B14" s="227">
        <v>6</v>
      </c>
      <c r="C14" s="227">
        <v>80</v>
      </c>
      <c r="D14" s="227">
        <v>2</v>
      </c>
      <c r="E14" s="227">
        <v>25</v>
      </c>
      <c r="F14" s="227">
        <v>0</v>
      </c>
      <c r="G14" s="227">
        <v>8</v>
      </c>
      <c r="H14" s="227">
        <v>5</v>
      </c>
      <c r="I14" s="227">
        <v>80</v>
      </c>
      <c r="J14" s="19">
        <v>13</v>
      </c>
      <c r="K14" s="19">
        <v>193</v>
      </c>
      <c r="L14" s="842" t="s">
        <v>314</v>
      </c>
    </row>
    <row r="15" spans="1:12" ht="18.75" customHeight="1" thickBot="1">
      <c r="A15" s="115" t="s">
        <v>313</v>
      </c>
      <c r="B15" s="227">
        <v>23</v>
      </c>
      <c r="C15" s="227">
        <v>46</v>
      </c>
      <c r="D15" s="227">
        <v>0</v>
      </c>
      <c r="E15" s="227">
        <v>11</v>
      </c>
      <c r="F15" s="227">
        <v>0</v>
      </c>
      <c r="G15" s="227">
        <v>5</v>
      </c>
      <c r="H15" s="227">
        <v>7</v>
      </c>
      <c r="I15" s="227">
        <v>51</v>
      </c>
      <c r="J15" s="19">
        <v>30</v>
      </c>
      <c r="K15" s="19">
        <v>113</v>
      </c>
      <c r="L15" s="842" t="s">
        <v>313</v>
      </c>
    </row>
    <row r="16" spans="1:12" ht="18.75" customHeight="1" thickBot="1">
      <c r="A16" s="115" t="s">
        <v>133</v>
      </c>
      <c r="B16" s="227">
        <v>9</v>
      </c>
      <c r="C16" s="227">
        <v>28</v>
      </c>
      <c r="D16" s="227">
        <v>9</v>
      </c>
      <c r="E16" s="227">
        <v>7</v>
      </c>
      <c r="F16" s="227">
        <v>3</v>
      </c>
      <c r="G16" s="227">
        <v>2</v>
      </c>
      <c r="H16" s="227">
        <v>7</v>
      </c>
      <c r="I16" s="227">
        <v>22</v>
      </c>
      <c r="J16" s="19">
        <v>28</v>
      </c>
      <c r="K16" s="19">
        <v>59</v>
      </c>
      <c r="L16" s="842" t="s">
        <v>133</v>
      </c>
    </row>
    <row r="17" spans="1:12" ht="18.75" customHeight="1" thickBot="1">
      <c r="A17" s="115" t="s">
        <v>127</v>
      </c>
      <c r="B17" s="227">
        <v>26</v>
      </c>
      <c r="C17" s="227">
        <v>29</v>
      </c>
      <c r="D17" s="227">
        <v>0</v>
      </c>
      <c r="E17" s="227">
        <v>0</v>
      </c>
      <c r="F17" s="227">
        <v>0</v>
      </c>
      <c r="G17" s="227">
        <v>1</v>
      </c>
      <c r="H17" s="227">
        <v>5</v>
      </c>
      <c r="I17" s="227">
        <v>10</v>
      </c>
      <c r="J17" s="19">
        <v>31</v>
      </c>
      <c r="K17" s="19">
        <v>40</v>
      </c>
      <c r="L17" s="842" t="s">
        <v>127</v>
      </c>
    </row>
    <row r="18" spans="1:12" s="88" customFormat="1" ht="18.75" customHeight="1" thickBot="1">
      <c r="A18" s="115" t="s">
        <v>430</v>
      </c>
      <c r="B18" s="227">
        <v>28</v>
      </c>
      <c r="C18" s="227">
        <v>40</v>
      </c>
      <c r="D18" s="227">
        <v>6</v>
      </c>
      <c r="E18" s="227">
        <v>2</v>
      </c>
      <c r="F18" s="227">
        <v>0</v>
      </c>
      <c r="G18" s="227">
        <v>4</v>
      </c>
      <c r="H18" s="227">
        <v>3</v>
      </c>
      <c r="I18" s="227">
        <v>20</v>
      </c>
      <c r="J18" s="19">
        <v>37</v>
      </c>
      <c r="K18" s="19">
        <v>66</v>
      </c>
      <c r="L18" s="842" t="s">
        <v>430</v>
      </c>
    </row>
    <row r="19" spans="1:12" s="112" customFormat="1" ht="18.75" customHeight="1" thickBot="1">
      <c r="A19" s="116" t="s">
        <v>14</v>
      </c>
      <c r="B19" s="228">
        <v>0</v>
      </c>
      <c r="C19" s="228">
        <v>6</v>
      </c>
      <c r="D19" s="228">
        <v>0</v>
      </c>
      <c r="E19" s="228">
        <v>1</v>
      </c>
      <c r="F19" s="228">
        <v>0</v>
      </c>
      <c r="G19" s="228">
        <v>0</v>
      </c>
      <c r="H19" s="228">
        <v>5</v>
      </c>
      <c r="I19" s="228">
        <v>2</v>
      </c>
      <c r="J19" s="19">
        <v>5</v>
      </c>
      <c r="K19" s="19">
        <v>9</v>
      </c>
      <c r="L19" s="843" t="s">
        <v>15</v>
      </c>
    </row>
    <row r="20" spans="1:12" ht="18.75" customHeight="1">
      <c r="A20" s="301" t="s">
        <v>187</v>
      </c>
      <c r="B20" s="302">
        <f>SUM(B8:B19)</f>
        <v>102</v>
      </c>
      <c r="C20" s="302">
        <f>SUM(C8:C19)</f>
        <v>1136</v>
      </c>
      <c r="D20" s="302">
        <f t="shared" ref="D20:K20" si="0">SUM(D8:D19)</f>
        <v>22</v>
      </c>
      <c r="E20" s="302">
        <f>SUM(E8:E19)</f>
        <v>188</v>
      </c>
      <c r="F20" s="302">
        <f t="shared" si="0"/>
        <v>3</v>
      </c>
      <c r="G20" s="302">
        <f t="shared" si="0"/>
        <v>81</v>
      </c>
      <c r="H20" s="302">
        <f t="shared" si="0"/>
        <v>37</v>
      </c>
      <c r="I20" s="302">
        <f t="shared" si="0"/>
        <v>736</v>
      </c>
      <c r="J20" s="302">
        <f>SUM(J8:J19)</f>
        <v>164</v>
      </c>
      <c r="K20" s="302">
        <f t="shared" si="0"/>
        <v>2141</v>
      </c>
      <c r="L20" s="569" t="s">
        <v>17</v>
      </c>
    </row>
    <row r="21" spans="1:12" s="913" customFormat="1" ht="15.75" customHeight="1">
      <c r="A21" s="915" t="s">
        <v>520</v>
      </c>
      <c r="L21" s="913" t="s">
        <v>523</v>
      </c>
    </row>
  </sheetData>
  <mergeCells count="11">
    <mergeCell ref="A1:L1"/>
    <mergeCell ref="A2:L2"/>
    <mergeCell ref="A3:L3"/>
    <mergeCell ref="A4:L4"/>
    <mergeCell ref="A6:A7"/>
    <mergeCell ref="L6:L7"/>
    <mergeCell ref="B6:C6"/>
    <mergeCell ref="D6:E6"/>
    <mergeCell ref="F6:G6"/>
    <mergeCell ref="H6:I6"/>
    <mergeCell ref="J6:K6"/>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E15"/>
  <sheetViews>
    <sheetView rightToLeft="1" view="pageBreakPreview" zoomScaleNormal="75" zoomScaleSheetLayoutView="100" workbookViewId="0">
      <selection activeCell="D18" sqref="D18"/>
    </sheetView>
  </sheetViews>
  <sheetFormatPr defaultColWidth="9.140625" defaultRowHeight="12.75"/>
  <cols>
    <col min="1" max="1" width="28.28515625" style="82" customWidth="1"/>
    <col min="2" max="4" width="21.42578125" style="1" customWidth="1"/>
    <col min="5" max="5" width="28.28515625" style="82" customWidth="1"/>
    <col min="6" max="16384" width="9.140625" style="1"/>
  </cols>
  <sheetData>
    <row r="1" spans="1:5" s="2" customFormat="1" ht="24" customHeight="1">
      <c r="A1" s="1041" t="s">
        <v>452</v>
      </c>
      <c r="B1" s="1041"/>
      <c r="C1" s="1041"/>
      <c r="D1" s="1041"/>
      <c r="E1" s="1041"/>
    </row>
    <row r="2" spans="1:5" s="3" customFormat="1" ht="36.75" customHeight="1">
      <c r="A2" s="1068" t="s">
        <v>567</v>
      </c>
      <c r="B2" s="1068"/>
      <c r="C2" s="1068"/>
      <c r="D2" s="1068"/>
      <c r="E2" s="1068"/>
    </row>
    <row r="3" spans="1:5" s="2" customFormat="1" ht="15.75">
      <c r="A3" s="1069">
        <v>2021</v>
      </c>
      <c r="B3" s="1069"/>
      <c r="C3" s="1069"/>
      <c r="D3" s="1069"/>
      <c r="E3" s="1069"/>
    </row>
    <row r="4" spans="1:5" s="2" customFormat="1" ht="15.75">
      <c r="A4" s="1069"/>
      <c r="B4" s="1069"/>
      <c r="C4" s="1069"/>
      <c r="D4" s="1069"/>
      <c r="E4" s="1069"/>
    </row>
    <row r="5" spans="1:5" ht="15.75">
      <c r="A5" s="381" t="s">
        <v>481</v>
      </c>
      <c r="B5" s="378"/>
      <c r="C5" s="378"/>
      <c r="D5" s="378"/>
      <c r="E5" s="382" t="s">
        <v>482</v>
      </c>
    </row>
    <row r="6" spans="1:5" ht="63.75" customHeight="1">
      <c r="A6" s="587" t="s">
        <v>276</v>
      </c>
      <c r="B6" s="589" t="s">
        <v>701</v>
      </c>
      <c r="C6" s="589" t="s">
        <v>702</v>
      </c>
      <c r="D6" s="589" t="s">
        <v>703</v>
      </c>
      <c r="E6" s="588" t="s">
        <v>451</v>
      </c>
    </row>
    <row r="7" spans="1:5" ht="21" customHeight="1" thickBot="1">
      <c r="A7" s="877" t="s">
        <v>546</v>
      </c>
      <c r="B7" s="618">
        <v>0</v>
      </c>
      <c r="C7" s="618">
        <v>0</v>
      </c>
      <c r="D7" s="188">
        <v>0</v>
      </c>
      <c r="E7" s="873" t="s">
        <v>546</v>
      </c>
    </row>
    <row r="8" spans="1:5" ht="21" customHeight="1" thickBot="1">
      <c r="A8" s="878" t="s">
        <v>428</v>
      </c>
      <c r="B8" s="883">
        <v>10</v>
      </c>
      <c r="C8" s="883">
        <v>7</v>
      </c>
      <c r="D8" s="881">
        <v>17</v>
      </c>
      <c r="E8" s="874" t="s">
        <v>428</v>
      </c>
    </row>
    <row r="9" spans="1:5" ht="21" customHeight="1" thickBot="1">
      <c r="A9" s="877" t="s">
        <v>429</v>
      </c>
      <c r="B9" s="884">
        <v>8</v>
      </c>
      <c r="C9" s="884">
        <v>12</v>
      </c>
      <c r="D9" s="882">
        <v>20</v>
      </c>
      <c r="E9" s="873" t="s">
        <v>429</v>
      </c>
    </row>
    <row r="10" spans="1:5" ht="21" customHeight="1" thickBot="1">
      <c r="A10" s="878" t="s">
        <v>418</v>
      </c>
      <c r="B10" s="883">
        <v>15</v>
      </c>
      <c r="C10" s="883">
        <v>12</v>
      </c>
      <c r="D10" s="881">
        <v>27</v>
      </c>
      <c r="E10" s="874" t="s">
        <v>418</v>
      </c>
    </row>
    <row r="11" spans="1:5" ht="21" customHeight="1">
      <c r="A11" s="879" t="s">
        <v>24</v>
      </c>
      <c r="B11" s="884">
        <v>16</v>
      </c>
      <c r="C11" s="884">
        <v>8</v>
      </c>
      <c r="D11" s="882">
        <v>24</v>
      </c>
      <c r="E11" s="875" t="s">
        <v>24</v>
      </c>
    </row>
    <row r="12" spans="1:5" ht="21" customHeight="1">
      <c r="A12" s="880" t="s">
        <v>419</v>
      </c>
      <c r="B12" s="883">
        <v>15</v>
      </c>
      <c r="C12" s="883">
        <v>5</v>
      </c>
      <c r="D12" s="881">
        <v>20</v>
      </c>
      <c r="E12" s="876" t="s">
        <v>419</v>
      </c>
    </row>
    <row r="13" spans="1:5" ht="21" customHeight="1">
      <c r="A13" s="879" t="s">
        <v>547</v>
      </c>
      <c r="B13" s="871">
        <v>41</v>
      </c>
      <c r="C13" s="871">
        <v>15</v>
      </c>
      <c r="D13" s="872">
        <v>56</v>
      </c>
      <c r="E13" s="875" t="s">
        <v>548</v>
      </c>
    </row>
    <row r="14" spans="1:5" ht="21" customHeight="1">
      <c r="A14" s="616" t="s">
        <v>187</v>
      </c>
      <c r="B14" s="740">
        <f>SUM(B7:B13)</f>
        <v>105</v>
      </c>
      <c r="C14" s="740">
        <f>SUM(C7:C13)</f>
        <v>59</v>
      </c>
      <c r="D14" s="740">
        <f>SUM(D7:D13)</f>
        <v>164</v>
      </c>
      <c r="E14" s="617" t="s">
        <v>17</v>
      </c>
    </row>
    <row r="15" spans="1:5" ht="17.25" customHeight="1">
      <c r="A15" s="914" t="s">
        <v>685</v>
      </c>
      <c r="B15" s="913"/>
      <c r="C15" s="913"/>
      <c r="D15" s="913"/>
      <c r="E15" s="912" t="s">
        <v>686</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E15"/>
  <sheetViews>
    <sheetView rightToLeft="1" view="pageBreakPreview" zoomScaleNormal="75" zoomScaleSheetLayoutView="100" workbookViewId="0">
      <selection activeCell="A17" sqref="A17"/>
    </sheetView>
  </sheetViews>
  <sheetFormatPr defaultColWidth="9.140625" defaultRowHeight="12.75"/>
  <cols>
    <col min="1" max="1" width="24.28515625" style="82" customWidth="1"/>
    <col min="2" max="4" width="22.85546875" style="1" customWidth="1"/>
    <col min="5" max="5" width="24.28515625" style="82" customWidth="1"/>
    <col min="6" max="16384" width="9.140625" style="1"/>
  </cols>
  <sheetData>
    <row r="1" spans="1:5" s="2" customFormat="1" ht="24" customHeight="1">
      <c r="A1" s="1041" t="s">
        <v>453</v>
      </c>
      <c r="B1" s="1041"/>
      <c r="C1" s="1041"/>
      <c r="D1" s="1041"/>
      <c r="E1" s="1041"/>
    </row>
    <row r="2" spans="1:5" s="3" customFormat="1" ht="39.75" customHeight="1">
      <c r="A2" s="1245" t="s">
        <v>568</v>
      </c>
      <c r="B2" s="1245"/>
      <c r="C2" s="1245"/>
      <c r="D2" s="1245"/>
      <c r="E2" s="1245"/>
    </row>
    <row r="3" spans="1:5" s="2" customFormat="1" ht="15.75">
      <c r="A3" s="1069">
        <v>2021</v>
      </c>
      <c r="B3" s="1069"/>
      <c r="C3" s="1069"/>
      <c r="D3" s="1069"/>
      <c r="E3" s="1069"/>
    </row>
    <row r="4" spans="1:5" s="2" customFormat="1" ht="15.75">
      <c r="A4" s="1069"/>
      <c r="B4" s="1069"/>
      <c r="C4" s="1069"/>
      <c r="D4" s="1069"/>
      <c r="E4" s="1069"/>
    </row>
    <row r="5" spans="1:5" ht="15.75">
      <c r="A5" s="381" t="s">
        <v>483</v>
      </c>
      <c r="B5" s="378"/>
      <c r="C5" s="378"/>
      <c r="D5" s="378"/>
      <c r="E5" s="382" t="s">
        <v>484</v>
      </c>
    </row>
    <row r="6" spans="1:5" ht="63.75" customHeight="1">
      <c r="A6" s="587" t="s">
        <v>276</v>
      </c>
      <c r="B6" s="589" t="s">
        <v>701</v>
      </c>
      <c r="C6" s="589" t="s">
        <v>702</v>
      </c>
      <c r="D6" s="589" t="s">
        <v>703</v>
      </c>
      <c r="E6" s="588" t="s">
        <v>451</v>
      </c>
    </row>
    <row r="7" spans="1:5" ht="21" customHeight="1" thickBot="1">
      <c r="A7" s="877" t="s">
        <v>546</v>
      </c>
      <c r="B7" s="618">
        <v>0</v>
      </c>
      <c r="C7" s="618">
        <v>0</v>
      </c>
      <c r="D7" s="188">
        <f>Table_Default__XLS_TAB_48[[#This Row],[QATARI_SON_CNT]]+Table_Default__XLS_TAB_48[[#This Row],[NON_QATARI_SON_CNT]]</f>
        <v>0</v>
      </c>
      <c r="E7" s="873" t="s">
        <v>546</v>
      </c>
    </row>
    <row r="8" spans="1:5" ht="21" customHeight="1" thickBot="1">
      <c r="A8" s="878" t="s">
        <v>428</v>
      </c>
      <c r="B8" s="883">
        <v>51</v>
      </c>
      <c r="C8" s="883">
        <v>50</v>
      </c>
      <c r="D8" s="881">
        <f>Table_Default__XLS_TAB_48[[#This Row],[QATARI_SON_CNT]]+Table_Default__XLS_TAB_48[[#This Row],[NON_QATARI_SON_CNT]]</f>
        <v>101</v>
      </c>
      <c r="E8" s="874" t="s">
        <v>428</v>
      </c>
    </row>
    <row r="9" spans="1:5" ht="21" customHeight="1" thickBot="1">
      <c r="A9" s="877" t="s">
        <v>429</v>
      </c>
      <c r="B9" s="884">
        <v>88</v>
      </c>
      <c r="C9" s="884">
        <v>108</v>
      </c>
      <c r="D9" s="882">
        <f>Table_Default__XLS_TAB_48[[#This Row],[QATARI_SON_CNT]]+Table_Default__XLS_TAB_48[[#This Row],[NON_QATARI_SON_CNT]]</f>
        <v>196</v>
      </c>
      <c r="E9" s="873" t="s">
        <v>429</v>
      </c>
    </row>
    <row r="10" spans="1:5" ht="21" customHeight="1" thickBot="1">
      <c r="A10" s="878" t="s">
        <v>418</v>
      </c>
      <c r="B10" s="883">
        <v>114</v>
      </c>
      <c r="C10" s="883">
        <v>72</v>
      </c>
      <c r="D10" s="881">
        <f>Table_Default__XLS_TAB_48[[#This Row],[QATARI_SON_CNT]]+Table_Default__XLS_TAB_48[[#This Row],[NON_QATARI_SON_CNT]]</f>
        <v>186</v>
      </c>
      <c r="E10" s="874" t="s">
        <v>418</v>
      </c>
    </row>
    <row r="11" spans="1:5" ht="21" customHeight="1">
      <c r="A11" s="879" t="s">
        <v>24</v>
      </c>
      <c r="B11" s="884">
        <v>116</v>
      </c>
      <c r="C11" s="884">
        <v>80</v>
      </c>
      <c r="D11" s="882">
        <f>Table_Default__XLS_TAB_48[[#This Row],[QATARI_SON_CNT]]+Table_Default__XLS_TAB_48[[#This Row],[NON_QATARI_SON_CNT]]</f>
        <v>196</v>
      </c>
      <c r="E11" s="875" t="s">
        <v>24</v>
      </c>
    </row>
    <row r="12" spans="1:5" ht="21" customHeight="1">
      <c r="A12" s="880" t="s">
        <v>419</v>
      </c>
      <c r="B12" s="883">
        <v>60</v>
      </c>
      <c r="C12" s="883">
        <v>45</v>
      </c>
      <c r="D12" s="881">
        <f>Table_Default__XLS_TAB_48[[#This Row],[QATARI_SON_CNT]]+Table_Default__XLS_TAB_48[[#This Row],[NON_QATARI_SON_CNT]]</f>
        <v>105</v>
      </c>
      <c r="E12" s="876" t="s">
        <v>419</v>
      </c>
    </row>
    <row r="13" spans="1:5" ht="21" customHeight="1">
      <c r="A13" s="879" t="s">
        <v>547</v>
      </c>
      <c r="B13" s="871">
        <v>182</v>
      </c>
      <c r="C13" s="871">
        <v>41</v>
      </c>
      <c r="D13" s="872">
        <f>Table_Default__XLS_TAB_48[[#This Row],[QATARI_SON_CNT]]+Table_Default__XLS_TAB_48[[#This Row],[NON_QATARI_SON_CNT]]</f>
        <v>223</v>
      </c>
      <c r="E13" s="875" t="s">
        <v>548</v>
      </c>
    </row>
    <row r="14" spans="1:5" ht="21" customHeight="1">
      <c r="A14" s="616" t="s">
        <v>187</v>
      </c>
      <c r="B14" s="740">
        <f>SUM(B7:B13)</f>
        <v>611</v>
      </c>
      <c r="C14" s="740">
        <f>SUM(C7:C13)</f>
        <v>396</v>
      </c>
      <c r="D14" s="740">
        <f>SUM(D7:D13)</f>
        <v>1007</v>
      </c>
      <c r="E14" s="617" t="s">
        <v>17</v>
      </c>
    </row>
    <row r="15" spans="1:5" ht="17.25" customHeight="1">
      <c r="A15" s="914" t="s">
        <v>1076</v>
      </c>
      <c r="B15" s="913"/>
      <c r="C15" s="913"/>
      <c r="D15" s="913"/>
      <c r="E15" s="912" t="s">
        <v>687</v>
      </c>
    </row>
  </sheetData>
  <mergeCells count="4">
    <mergeCell ref="A4:E4"/>
    <mergeCell ref="A1:E1"/>
    <mergeCell ref="A2:E2"/>
    <mergeCell ref="A3:E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
  <sheetViews>
    <sheetView rightToLeft="1" view="pageBreakPreview" zoomScale="60" zoomScaleNormal="100" workbookViewId="0">
      <selection activeCell="F22" sqref="F22"/>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Z30"/>
  <sheetViews>
    <sheetView rightToLeft="1" view="pageBreakPreview" topLeftCell="A7" zoomScaleNormal="100" zoomScaleSheetLayoutView="100" workbookViewId="0">
      <selection activeCell="F22" sqref="F22:G22"/>
    </sheetView>
  </sheetViews>
  <sheetFormatPr defaultRowHeight="15"/>
  <cols>
    <col min="3" max="3" width="20.5703125" customWidth="1"/>
    <col min="5" max="5" width="3.140625" customWidth="1"/>
    <col min="6" max="6" width="25.7109375" customWidth="1"/>
    <col min="7" max="7" width="16.7109375" customWidth="1"/>
  </cols>
  <sheetData>
    <row r="1" spans="1:26" s="729" customFormat="1" ht="69" customHeight="1">
      <c r="A1" s="1246" t="s">
        <v>990</v>
      </c>
      <c r="B1" s="1247"/>
      <c r="C1" s="1247"/>
      <c r="D1" s="1247"/>
      <c r="E1" s="1247"/>
      <c r="F1" s="1247"/>
      <c r="G1" s="1247"/>
      <c r="H1" s="1247"/>
      <c r="I1" s="730"/>
      <c r="J1" s="730"/>
      <c r="K1" s="730"/>
      <c r="L1" s="730"/>
      <c r="M1" s="730"/>
      <c r="N1" s="730"/>
      <c r="O1" s="730"/>
      <c r="P1" s="730"/>
      <c r="Q1" s="730"/>
      <c r="R1" s="730"/>
      <c r="S1" s="730"/>
      <c r="T1" s="730"/>
      <c r="U1" s="730"/>
      <c r="V1" s="730"/>
      <c r="W1" s="730"/>
      <c r="X1" s="730"/>
      <c r="Y1" s="730"/>
      <c r="Z1" s="730"/>
    </row>
    <row r="4" spans="1:26" ht="15.75" thickBot="1"/>
    <row r="5" spans="1:26" ht="15.75" thickBot="1">
      <c r="A5" s="1253" t="s">
        <v>989</v>
      </c>
      <c r="B5" s="1253"/>
      <c r="C5" s="728" t="s">
        <v>988</v>
      </c>
      <c r="F5" s="727" t="s">
        <v>91</v>
      </c>
      <c r="G5" s="1248" t="s">
        <v>987</v>
      </c>
      <c r="H5" s="1248"/>
    </row>
    <row r="6" spans="1:26" ht="15.75" thickBot="1">
      <c r="A6" s="1253"/>
      <c r="B6" s="1253"/>
      <c r="C6" s="728" t="s">
        <v>986</v>
      </c>
      <c r="F6" s="727" t="s">
        <v>28</v>
      </c>
      <c r="G6" s="1248"/>
      <c r="H6" s="1248"/>
    </row>
    <row r="7" spans="1:26" ht="15.75" customHeight="1" thickBot="1">
      <c r="A7" s="1253" t="s">
        <v>985</v>
      </c>
      <c r="B7" s="1253"/>
      <c r="C7" s="1253"/>
      <c r="F7" s="1248" t="s">
        <v>984</v>
      </c>
      <c r="G7" s="1248"/>
      <c r="H7" s="1248"/>
    </row>
    <row r="8" spans="1:26" ht="26.25" thickBot="1">
      <c r="A8" s="1253" t="s">
        <v>983</v>
      </c>
      <c r="B8" s="1253"/>
      <c r="C8" s="723" t="s">
        <v>982</v>
      </c>
      <c r="F8" s="722" t="s">
        <v>981</v>
      </c>
      <c r="G8" s="1248" t="s">
        <v>980</v>
      </c>
      <c r="H8" s="1248"/>
    </row>
    <row r="9" spans="1:26" ht="15.75" thickBot="1">
      <c r="A9" s="1253" t="s">
        <v>979</v>
      </c>
      <c r="B9" s="1256" t="s">
        <v>978</v>
      </c>
      <c r="C9" s="1256"/>
      <c r="F9" s="1250" t="s">
        <v>977</v>
      </c>
      <c r="G9" s="1250"/>
      <c r="H9" s="1249" t="s">
        <v>976</v>
      </c>
    </row>
    <row r="10" spans="1:26" ht="15.75" thickBot="1">
      <c r="A10" s="1253"/>
      <c r="B10" s="1256" t="s">
        <v>965</v>
      </c>
      <c r="C10" s="1256"/>
      <c r="F10" s="1250" t="s">
        <v>964</v>
      </c>
      <c r="G10" s="1250"/>
      <c r="H10" s="1249"/>
    </row>
    <row r="11" spans="1:26" ht="15.75" thickBot="1">
      <c r="A11" s="1253"/>
      <c r="B11" s="1256" t="s">
        <v>963</v>
      </c>
      <c r="C11" s="1256"/>
      <c r="F11" s="1250" t="s">
        <v>962</v>
      </c>
      <c r="G11" s="1250"/>
      <c r="H11" s="1249"/>
    </row>
    <row r="12" spans="1:26" ht="15.75" thickBot="1">
      <c r="A12" s="1253"/>
      <c r="B12" s="1256" t="s">
        <v>961</v>
      </c>
      <c r="C12" s="1256"/>
      <c r="F12" s="1250" t="s">
        <v>960</v>
      </c>
      <c r="G12" s="1250"/>
      <c r="H12" s="1249"/>
    </row>
    <row r="13" spans="1:26" ht="51.75" thickBot="1">
      <c r="A13" s="1253"/>
      <c r="B13" s="724" t="s">
        <v>959</v>
      </c>
      <c r="C13" s="723" t="s">
        <v>975</v>
      </c>
      <c r="F13" s="722" t="s">
        <v>974</v>
      </c>
      <c r="G13" s="721" t="s">
        <v>956</v>
      </c>
      <c r="H13" s="1249"/>
    </row>
    <row r="14" spans="1:26" ht="15.75" thickBot="1">
      <c r="A14" s="1253"/>
      <c r="B14" s="1253" t="s">
        <v>973</v>
      </c>
      <c r="C14" s="1253"/>
      <c r="F14" s="1248" t="s">
        <v>972</v>
      </c>
      <c r="G14" s="1248"/>
      <c r="H14" s="1249"/>
    </row>
    <row r="15" spans="1:26" ht="15.75" thickBot="1">
      <c r="A15" s="1253"/>
      <c r="B15" s="1253" t="s">
        <v>971</v>
      </c>
      <c r="C15" s="1253"/>
      <c r="F15" s="1248" t="s">
        <v>970</v>
      </c>
      <c r="G15" s="1248"/>
      <c r="H15" s="1249"/>
    </row>
    <row r="16" spans="1:26" ht="120.75" thickBot="1">
      <c r="A16" s="1253"/>
      <c r="B16" s="724" t="s">
        <v>953</v>
      </c>
      <c r="C16" s="725" t="s">
        <v>952</v>
      </c>
      <c r="F16" s="722" t="s">
        <v>951</v>
      </c>
      <c r="G16" s="721" t="s">
        <v>950</v>
      </c>
      <c r="H16" s="1249"/>
    </row>
    <row r="17" spans="1:8" ht="15.75" thickBot="1">
      <c r="A17" s="1253"/>
      <c r="B17" s="1256" t="s">
        <v>949</v>
      </c>
      <c r="C17" s="1256"/>
      <c r="F17" s="1250" t="s">
        <v>948</v>
      </c>
      <c r="G17" s="1250"/>
      <c r="H17" s="1249"/>
    </row>
    <row r="18" spans="1:8" ht="15.75" thickBot="1">
      <c r="A18" s="1253"/>
      <c r="B18" s="1256" t="s">
        <v>947</v>
      </c>
      <c r="C18" s="1256"/>
      <c r="F18" s="1250" t="s">
        <v>946</v>
      </c>
      <c r="G18" s="1250"/>
      <c r="H18" s="1249"/>
    </row>
    <row r="19" spans="1:8" ht="15.75" thickBot="1">
      <c r="A19" s="1253" t="s">
        <v>969</v>
      </c>
      <c r="B19" s="1256" t="s">
        <v>968</v>
      </c>
      <c r="C19" s="1256"/>
      <c r="F19" s="1250" t="s">
        <v>967</v>
      </c>
      <c r="G19" s="1250"/>
      <c r="H19" s="1249" t="s">
        <v>966</v>
      </c>
    </row>
    <row r="20" spans="1:8" ht="15.75" thickBot="1">
      <c r="A20" s="1253"/>
      <c r="B20" s="1256" t="s">
        <v>965</v>
      </c>
      <c r="C20" s="1256"/>
      <c r="F20" s="1250" t="s">
        <v>964</v>
      </c>
      <c r="G20" s="1250"/>
      <c r="H20" s="1249"/>
    </row>
    <row r="21" spans="1:8" ht="15.75" thickBot="1">
      <c r="A21" s="1253"/>
      <c r="B21" s="1256" t="s">
        <v>963</v>
      </c>
      <c r="C21" s="1256"/>
      <c r="F21" s="1250" t="s">
        <v>962</v>
      </c>
      <c r="G21" s="1250"/>
      <c r="H21" s="1249"/>
    </row>
    <row r="22" spans="1:8" ht="15.75" thickBot="1">
      <c r="A22" s="1253"/>
      <c r="B22" s="1256" t="s">
        <v>961</v>
      </c>
      <c r="C22" s="1256"/>
      <c r="F22" s="1250" t="s">
        <v>960</v>
      </c>
      <c r="G22" s="1250"/>
      <c r="H22" s="1249"/>
    </row>
    <row r="23" spans="1:8" ht="39" thickBot="1">
      <c r="A23" s="1253"/>
      <c r="B23" s="724" t="s">
        <v>959</v>
      </c>
      <c r="C23" s="723" t="s">
        <v>958</v>
      </c>
      <c r="F23" s="722" t="s">
        <v>957</v>
      </c>
      <c r="G23" s="726" t="s">
        <v>956</v>
      </c>
      <c r="H23" s="1249"/>
    </row>
    <row r="24" spans="1:8" ht="15.75" thickBot="1">
      <c r="A24" s="1253"/>
      <c r="B24" s="1253" t="s">
        <v>955</v>
      </c>
      <c r="C24" s="1253"/>
      <c r="F24" s="1248" t="s">
        <v>954</v>
      </c>
      <c r="G24" s="1248"/>
      <c r="H24" s="1249"/>
    </row>
    <row r="25" spans="1:8" ht="120.75" thickBot="1">
      <c r="A25" s="1253"/>
      <c r="B25" s="724" t="s">
        <v>953</v>
      </c>
      <c r="C25" s="725" t="s">
        <v>952</v>
      </c>
      <c r="F25" s="722" t="s">
        <v>951</v>
      </c>
      <c r="G25" s="721" t="s">
        <v>950</v>
      </c>
      <c r="H25" s="1249"/>
    </row>
    <row r="26" spans="1:8" ht="15.75" thickBot="1">
      <c r="A26" s="1253"/>
      <c r="B26" s="1254" t="s">
        <v>949</v>
      </c>
      <c r="C26" s="1255"/>
      <c r="F26" s="1251" t="s">
        <v>948</v>
      </c>
      <c r="G26" s="1252"/>
      <c r="H26" s="1249"/>
    </row>
    <row r="27" spans="1:8" ht="15.75" thickBot="1">
      <c r="A27" s="1253"/>
      <c r="B27" s="1256" t="s">
        <v>947</v>
      </c>
      <c r="C27" s="1256"/>
      <c r="F27" s="1250" t="s">
        <v>946</v>
      </c>
      <c r="G27" s="1250"/>
      <c r="H27" s="1249"/>
    </row>
    <row r="28" spans="1:8" ht="39" thickBot="1">
      <c r="A28" s="1253"/>
      <c r="B28" s="724" t="s">
        <v>945</v>
      </c>
      <c r="C28" s="723" t="s">
        <v>944</v>
      </c>
      <c r="F28" s="722" t="s">
        <v>943</v>
      </c>
      <c r="G28" s="721" t="s">
        <v>942</v>
      </c>
      <c r="H28" s="1249"/>
    </row>
    <row r="30" spans="1:8">
      <c r="A30" s="720" t="s">
        <v>941</v>
      </c>
      <c r="H30" t="s">
        <v>940</v>
      </c>
    </row>
  </sheetData>
  <mergeCells count="41">
    <mergeCell ref="A8:B8"/>
    <mergeCell ref="A7:C7"/>
    <mergeCell ref="F27:G27"/>
    <mergeCell ref="A5:B6"/>
    <mergeCell ref="A9:A18"/>
    <mergeCell ref="B9:C9"/>
    <mergeCell ref="B10:C10"/>
    <mergeCell ref="B11:C11"/>
    <mergeCell ref="B12:C12"/>
    <mergeCell ref="B14:C14"/>
    <mergeCell ref="B15:C15"/>
    <mergeCell ref="B17:C17"/>
    <mergeCell ref="A19:A28"/>
    <mergeCell ref="B19:C19"/>
    <mergeCell ref="B20:C20"/>
    <mergeCell ref="B22:C22"/>
    <mergeCell ref="B24:C24"/>
    <mergeCell ref="B26:C26"/>
    <mergeCell ref="B27:C27"/>
    <mergeCell ref="B18:C18"/>
    <mergeCell ref="F9:G9"/>
    <mergeCell ref="F10:G10"/>
    <mergeCell ref="F11:G11"/>
    <mergeCell ref="F12:G12"/>
    <mergeCell ref="B21:C21"/>
    <mergeCell ref="A1:H1"/>
    <mergeCell ref="F7:H7"/>
    <mergeCell ref="G8:H8"/>
    <mergeCell ref="H19:H28"/>
    <mergeCell ref="F19:G19"/>
    <mergeCell ref="F20:G20"/>
    <mergeCell ref="F21:G21"/>
    <mergeCell ref="F22:G22"/>
    <mergeCell ref="F24:G24"/>
    <mergeCell ref="F26:G26"/>
    <mergeCell ref="F14:G14"/>
    <mergeCell ref="F15:G15"/>
    <mergeCell ref="F17:G17"/>
    <mergeCell ref="F18:G18"/>
    <mergeCell ref="G5:H6"/>
    <mergeCell ref="H9:H18"/>
  </mergeCells>
  <printOptions horizontalCentered="1"/>
  <pageMargins left="0" right="0" top="0.74803149606299213" bottom="0" header="0" footer="0"/>
  <pageSetup paperSize="9" scale="9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AB30"/>
  <sheetViews>
    <sheetView rightToLeft="1" view="pageBreakPreview" zoomScaleNormal="100" zoomScaleSheetLayoutView="100" workbookViewId="0">
      <selection activeCell="F22" sqref="F22"/>
    </sheetView>
  </sheetViews>
  <sheetFormatPr defaultRowHeight="15"/>
  <cols>
    <col min="3" max="3" width="20.5703125" customWidth="1"/>
    <col min="5" max="5" width="3.140625" customWidth="1"/>
    <col min="6" max="6" width="25.7109375" customWidth="1"/>
    <col min="7" max="7" width="16.7109375" customWidth="1"/>
  </cols>
  <sheetData>
    <row r="1" spans="1:28" s="729" customFormat="1" ht="69" customHeight="1">
      <c r="A1" s="1246" t="s">
        <v>1010</v>
      </c>
      <c r="B1" s="1247"/>
      <c r="C1" s="1247"/>
      <c r="D1" s="1247"/>
      <c r="E1" s="1247"/>
      <c r="F1" s="1247"/>
      <c r="G1" s="1247"/>
      <c r="H1" s="1247"/>
      <c r="I1" s="730"/>
      <c r="J1" s="730"/>
      <c r="K1" s="730"/>
      <c r="L1" s="730"/>
      <c r="M1" s="730"/>
      <c r="N1" s="730"/>
      <c r="O1" s="730"/>
      <c r="P1" s="730"/>
      <c r="Q1" s="730"/>
      <c r="R1" s="730"/>
      <c r="S1" s="730"/>
      <c r="T1" s="730"/>
      <c r="U1" s="730"/>
      <c r="V1" s="730"/>
      <c r="W1" s="730"/>
      <c r="X1" s="730"/>
      <c r="Y1" s="730"/>
      <c r="Z1" s="730"/>
      <c r="AA1" s="730"/>
      <c r="AB1" s="730"/>
    </row>
    <row r="4" spans="1:28" ht="15.75" thickBot="1"/>
    <row r="5" spans="1:28" ht="15.75" thickBot="1">
      <c r="A5" s="1253" t="s">
        <v>1009</v>
      </c>
      <c r="B5" s="1253"/>
      <c r="C5" s="728" t="s">
        <v>988</v>
      </c>
      <c r="F5" s="727" t="s">
        <v>91</v>
      </c>
      <c r="G5" s="1248" t="s">
        <v>1008</v>
      </c>
      <c r="H5" s="1248"/>
    </row>
    <row r="6" spans="1:28" ht="15.75" thickBot="1">
      <c r="A6" s="1253"/>
      <c r="B6" s="1253"/>
      <c r="C6" s="728" t="s">
        <v>986</v>
      </c>
      <c r="F6" s="727" t="s">
        <v>28</v>
      </c>
      <c r="G6" s="1248"/>
      <c r="H6" s="1248"/>
    </row>
    <row r="7" spans="1:28" ht="15.75" customHeight="1" thickBot="1">
      <c r="A7" s="1253" t="s">
        <v>1007</v>
      </c>
      <c r="B7" s="1253"/>
      <c r="C7" s="1253"/>
      <c r="F7" s="1248" t="s">
        <v>984</v>
      </c>
      <c r="G7" s="1248"/>
      <c r="H7" s="1248"/>
    </row>
    <row r="8" spans="1:28" ht="15.75" customHeight="1" thickBot="1">
      <c r="A8" s="1253" t="s">
        <v>420</v>
      </c>
      <c r="B8" s="1253"/>
      <c r="C8" s="1253"/>
      <c r="F8" s="1248" t="s">
        <v>1006</v>
      </c>
      <c r="G8" s="1248"/>
      <c r="H8" s="1248"/>
    </row>
    <row r="9" spans="1:28" ht="65.25" customHeight="1" thickBot="1">
      <c r="A9" s="1253" t="s">
        <v>1005</v>
      </c>
      <c r="B9" s="1253"/>
      <c r="C9" s="723" t="s">
        <v>1004</v>
      </c>
      <c r="F9" s="722" t="s">
        <v>1003</v>
      </c>
      <c r="G9" s="1248" t="s">
        <v>1002</v>
      </c>
      <c r="H9" s="1248"/>
    </row>
    <row r="10" spans="1:28" ht="15.75" customHeight="1" thickBot="1">
      <c r="A10" s="1253" t="s">
        <v>979</v>
      </c>
      <c r="B10" s="1256" t="s">
        <v>978</v>
      </c>
      <c r="C10" s="1256"/>
      <c r="F10" s="1250" t="s">
        <v>1001</v>
      </c>
      <c r="G10" s="1250"/>
      <c r="H10" s="1249" t="s">
        <v>976</v>
      </c>
    </row>
    <row r="11" spans="1:28" ht="15.75" customHeight="1" thickBot="1">
      <c r="A11" s="1253"/>
      <c r="B11" s="1256" t="s">
        <v>965</v>
      </c>
      <c r="C11" s="1256"/>
      <c r="F11" s="1250" t="s">
        <v>964</v>
      </c>
      <c r="G11" s="1250"/>
      <c r="H11" s="1249"/>
    </row>
    <row r="12" spans="1:28" ht="15.75" customHeight="1" thickBot="1">
      <c r="A12" s="1253"/>
      <c r="B12" s="1256" t="s">
        <v>963</v>
      </c>
      <c r="C12" s="1256"/>
      <c r="F12" s="1250" t="s">
        <v>962</v>
      </c>
      <c r="G12" s="1250"/>
      <c r="H12" s="1249"/>
    </row>
    <row r="13" spans="1:28" ht="15.75" customHeight="1" thickBot="1">
      <c r="A13" s="1253"/>
      <c r="B13" s="1256" t="s">
        <v>961</v>
      </c>
      <c r="C13" s="1256"/>
      <c r="F13" s="1250" t="s">
        <v>960</v>
      </c>
      <c r="G13" s="1250"/>
      <c r="H13" s="1249"/>
    </row>
    <row r="14" spans="1:28" ht="15.75" customHeight="1" thickBot="1">
      <c r="A14" s="1253"/>
      <c r="B14" s="1256" t="s">
        <v>1000</v>
      </c>
      <c r="C14" s="1256"/>
      <c r="F14" s="1250" t="s">
        <v>999</v>
      </c>
      <c r="G14" s="1250"/>
      <c r="H14" s="1249"/>
    </row>
    <row r="15" spans="1:28" ht="120.75" thickBot="1">
      <c r="A15" s="1253"/>
      <c r="B15" s="724" t="s">
        <v>953</v>
      </c>
      <c r="C15" s="725" t="s">
        <v>952</v>
      </c>
      <c r="F15" s="722" t="s">
        <v>951</v>
      </c>
      <c r="G15" s="721" t="s">
        <v>950</v>
      </c>
      <c r="H15" s="1249"/>
    </row>
    <row r="16" spans="1:28" ht="15.75" customHeight="1" thickBot="1">
      <c r="A16" s="1253"/>
      <c r="B16" s="1256" t="s">
        <v>998</v>
      </c>
      <c r="C16" s="1256"/>
      <c r="F16" s="1250" t="s">
        <v>948</v>
      </c>
      <c r="G16" s="1250"/>
      <c r="H16" s="1249"/>
    </row>
    <row r="17" spans="1:8" ht="15.75" customHeight="1" thickBot="1">
      <c r="A17" s="1253"/>
      <c r="B17" s="1256" t="s">
        <v>947</v>
      </c>
      <c r="C17" s="1256"/>
      <c r="F17" s="1250" t="s">
        <v>946</v>
      </c>
      <c r="G17" s="1250"/>
      <c r="H17" s="1249"/>
    </row>
    <row r="18" spans="1:8" ht="15.75" customHeight="1" thickBot="1">
      <c r="A18" s="1253" t="s">
        <v>969</v>
      </c>
      <c r="B18" s="1256" t="s">
        <v>968</v>
      </c>
      <c r="C18" s="1256"/>
      <c r="F18" s="1250" t="s">
        <v>997</v>
      </c>
      <c r="G18" s="1250"/>
      <c r="H18" s="1249" t="s">
        <v>966</v>
      </c>
    </row>
    <row r="19" spans="1:8" ht="15.75" customHeight="1" thickBot="1">
      <c r="A19" s="1253"/>
      <c r="B19" s="1256" t="s">
        <v>965</v>
      </c>
      <c r="C19" s="1256"/>
      <c r="F19" s="1250" t="s">
        <v>964</v>
      </c>
      <c r="G19" s="1250"/>
      <c r="H19" s="1249"/>
    </row>
    <row r="20" spans="1:8" ht="15.75" customHeight="1" thickBot="1">
      <c r="A20" s="1253"/>
      <c r="B20" s="1256" t="s">
        <v>963</v>
      </c>
      <c r="C20" s="1256"/>
      <c r="F20" s="1250" t="s">
        <v>962</v>
      </c>
      <c r="G20" s="1250"/>
      <c r="H20" s="1249"/>
    </row>
    <row r="21" spans="1:8" ht="15.75" customHeight="1" thickBot="1">
      <c r="A21" s="1253"/>
      <c r="B21" s="1256" t="s">
        <v>961</v>
      </c>
      <c r="C21" s="1256"/>
      <c r="F21" s="1250" t="s">
        <v>960</v>
      </c>
      <c r="G21" s="1250"/>
      <c r="H21" s="1249"/>
    </row>
    <row r="22" spans="1:8" ht="120.75" thickBot="1">
      <c r="A22" s="1253"/>
      <c r="B22" s="724" t="s">
        <v>953</v>
      </c>
      <c r="C22" s="725" t="s">
        <v>952</v>
      </c>
      <c r="F22" s="722" t="s">
        <v>951</v>
      </c>
      <c r="G22" s="721" t="s">
        <v>950</v>
      </c>
      <c r="H22" s="1249"/>
    </row>
    <row r="23" spans="1:8" ht="15.75" customHeight="1" thickBot="1">
      <c r="A23" s="1253"/>
      <c r="B23" s="1254" t="s">
        <v>949</v>
      </c>
      <c r="C23" s="1255"/>
      <c r="F23" s="1251" t="s">
        <v>948</v>
      </c>
      <c r="G23" s="1252"/>
      <c r="H23" s="1249"/>
    </row>
    <row r="24" spans="1:8" ht="15.75" customHeight="1" thickBot="1">
      <c r="A24" s="1253"/>
      <c r="B24" s="1256" t="s">
        <v>947</v>
      </c>
      <c r="C24" s="1256"/>
      <c r="F24" s="1250" t="s">
        <v>946</v>
      </c>
      <c r="G24" s="1250"/>
      <c r="H24" s="1249"/>
    </row>
    <row r="25" spans="1:8" ht="39" thickBot="1">
      <c r="A25" s="1253"/>
      <c r="B25" s="724" t="s">
        <v>945</v>
      </c>
      <c r="C25" s="723" t="s">
        <v>944</v>
      </c>
      <c r="F25" s="722" t="s">
        <v>943</v>
      </c>
      <c r="G25" s="721" t="s">
        <v>942</v>
      </c>
      <c r="H25" s="1249"/>
    </row>
    <row r="26" spans="1:8" ht="15.75" customHeight="1" thickBot="1">
      <c r="A26" s="1253"/>
      <c r="B26" s="1256" t="s">
        <v>996</v>
      </c>
      <c r="C26" s="1256"/>
      <c r="F26" s="1257" t="s">
        <v>995</v>
      </c>
      <c r="G26" s="1257"/>
      <c r="H26" s="1249"/>
    </row>
    <row r="27" spans="1:8" ht="15.75" customHeight="1" thickBot="1">
      <c r="A27" s="1253"/>
      <c r="B27" s="1256" t="s">
        <v>994</v>
      </c>
      <c r="C27" s="1256"/>
      <c r="F27" s="1257" t="s">
        <v>993</v>
      </c>
      <c r="G27" s="1257"/>
      <c r="H27" s="1249"/>
    </row>
    <row r="28" spans="1:8" ht="15.75" customHeight="1" thickBot="1">
      <c r="A28" s="1253"/>
      <c r="B28" s="1256" t="s">
        <v>992</v>
      </c>
      <c r="C28" s="1256"/>
      <c r="F28" s="1257" t="s">
        <v>991</v>
      </c>
      <c r="G28" s="1257"/>
      <c r="H28" s="1249"/>
    </row>
    <row r="30" spans="1:8">
      <c r="A30" s="720" t="s">
        <v>941</v>
      </c>
      <c r="H30" t="s">
        <v>940</v>
      </c>
    </row>
  </sheetData>
  <mergeCells count="45">
    <mergeCell ref="A8:C8"/>
    <mergeCell ref="F8:H8"/>
    <mergeCell ref="A1:H1"/>
    <mergeCell ref="A5:B6"/>
    <mergeCell ref="G5:H6"/>
    <mergeCell ref="A7:C7"/>
    <mergeCell ref="F7:H7"/>
    <mergeCell ref="A9:B9"/>
    <mergeCell ref="A10:A17"/>
    <mergeCell ref="B11:C11"/>
    <mergeCell ref="B14:C14"/>
    <mergeCell ref="B17:C17"/>
    <mergeCell ref="B16:C16"/>
    <mergeCell ref="B12:C12"/>
    <mergeCell ref="B13:C13"/>
    <mergeCell ref="B10:C10"/>
    <mergeCell ref="A18:A28"/>
    <mergeCell ref="B20:C20"/>
    <mergeCell ref="B26:C26"/>
    <mergeCell ref="B27:C27"/>
    <mergeCell ref="B18:C18"/>
    <mergeCell ref="B19:C19"/>
    <mergeCell ref="B21:C21"/>
    <mergeCell ref="B23:C23"/>
    <mergeCell ref="B28:C28"/>
    <mergeCell ref="B24:C24"/>
    <mergeCell ref="G9:H9"/>
    <mergeCell ref="H10:H17"/>
    <mergeCell ref="F10:G10"/>
    <mergeCell ref="F11:G11"/>
    <mergeCell ref="F12:G12"/>
    <mergeCell ref="F13:G13"/>
    <mergeCell ref="F14:G14"/>
    <mergeCell ref="F16:G16"/>
    <mergeCell ref="F17:G17"/>
    <mergeCell ref="H18:H28"/>
    <mergeCell ref="F18:G18"/>
    <mergeCell ref="F19:G19"/>
    <mergeCell ref="F20:G20"/>
    <mergeCell ref="F21:G21"/>
    <mergeCell ref="F23:G23"/>
    <mergeCell ref="F26:G26"/>
    <mergeCell ref="F27:G27"/>
    <mergeCell ref="F28:G28"/>
    <mergeCell ref="F24:G24"/>
  </mergeCells>
  <printOptions horizontalCentered="1"/>
  <pageMargins left="0" right="0" top="0.74803149606299213" bottom="0" header="0" footer="0"/>
  <pageSetup paperSize="9" scale="9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3"/>
  <sheetViews>
    <sheetView rightToLeft="1" view="pageBreakPreview" zoomScaleNormal="100" zoomScaleSheetLayoutView="100" workbookViewId="0">
      <selection activeCell="D11" sqref="D11"/>
    </sheetView>
  </sheetViews>
  <sheetFormatPr defaultColWidth="9.140625" defaultRowHeight="12.75"/>
  <cols>
    <col min="1" max="1" width="12.5703125" style="1" customWidth="1"/>
    <col min="2" max="13" width="8.85546875" style="1" customWidth="1"/>
    <col min="14" max="14" width="13.42578125" style="1" customWidth="1"/>
    <col min="15" max="16384" width="9.140625" style="1"/>
  </cols>
  <sheetData>
    <row r="1" spans="1:14" ht="18">
      <c r="A1" s="1041" t="s">
        <v>555</v>
      </c>
      <c r="B1" s="1041"/>
      <c r="C1" s="1041"/>
      <c r="D1" s="1041"/>
      <c r="E1" s="1041"/>
      <c r="F1" s="1041"/>
      <c r="G1" s="1041"/>
      <c r="H1" s="1041"/>
      <c r="I1" s="1041"/>
      <c r="J1" s="1041"/>
      <c r="K1" s="1041"/>
      <c r="L1" s="1041"/>
      <c r="M1" s="1041"/>
      <c r="N1" s="1041"/>
    </row>
    <row r="2" spans="1:14" s="23" customFormat="1" ht="35.25" customHeight="1">
      <c r="A2" s="1047" t="s">
        <v>402</v>
      </c>
      <c r="B2" s="1047"/>
      <c r="C2" s="1047"/>
      <c r="D2" s="1047"/>
      <c r="E2" s="1047"/>
      <c r="F2" s="1047"/>
      <c r="G2" s="1047"/>
      <c r="H2" s="1047"/>
      <c r="I2" s="1047"/>
      <c r="J2" s="1047"/>
      <c r="K2" s="1047"/>
      <c r="L2" s="1047"/>
      <c r="M2" s="1047"/>
      <c r="N2" s="1047"/>
    </row>
    <row r="3" spans="1:14" s="23" customFormat="1" ht="15.75">
      <c r="A3" s="1048" t="s">
        <v>1319</v>
      </c>
      <c r="B3" s="1048"/>
      <c r="C3" s="1048"/>
      <c r="D3" s="1048"/>
      <c r="E3" s="1048"/>
      <c r="F3" s="1048"/>
      <c r="G3" s="1048"/>
      <c r="H3" s="1048"/>
      <c r="I3" s="1048"/>
      <c r="J3" s="1048"/>
      <c r="K3" s="1048"/>
      <c r="L3" s="1048"/>
      <c r="M3" s="1048"/>
      <c r="N3" s="1048"/>
    </row>
    <row r="4" spans="1:14" s="23" customFormat="1" ht="15.75">
      <c r="A4" s="357"/>
      <c r="B4" s="357"/>
      <c r="C4" s="357"/>
      <c r="D4" s="357"/>
      <c r="E4" s="357"/>
      <c r="F4" s="357"/>
      <c r="G4" s="357"/>
      <c r="H4" s="357"/>
      <c r="I4" s="357"/>
      <c r="J4" s="357"/>
      <c r="K4" s="357"/>
      <c r="L4" s="357"/>
      <c r="M4" s="357"/>
      <c r="N4" s="357"/>
    </row>
    <row r="5" spans="1:14" ht="21.75" customHeight="1">
      <c r="A5" s="358" t="s">
        <v>35</v>
      </c>
      <c r="B5" s="359"/>
      <c r="C5" s="359"/>
      <c r="D5" s="359"/>
      <c r="E5" s="359"/>
      <c r="F5" s="359"/>
      <c r="G5" s="359"/>
      <c r="H5" s="359"/>
      <c r="I5" s="359"/>
      <c r="J5" s="359"/>
      <c r="K5" s="359"/>
      <c r="L5" s="359"/>
      <c r="M5" s="359"/>
      <c r="N5" s="361" t="s">
        <v>403</v>
      </c>
    </row>
    <row r="6" spans="1:14" ht="38.25" customHeight="1" thickBot="1">
      <c r="A6" s="1044" t="s">
        <v>30</v>
      </c>
      <c r="B6" s="1058" t="s">
        <v>556</v>
      </c>
      <c r="C6" s="1059"/>
      <c r="D6" s="1059"/>
      <c r="E6" s="1059"/>
      <c r="F6" s="1059"/>
      <c r="G6" s="1060"/>
      <c r="H6" s="1061" t="s">
        <v>557</v>
      </c>
      <c r="I6" s="1062"/>
      <c r="J6" s="1062"/>
      <c r="K6" s="1062"/>
      <c r="L6" s="1062"/>
      <c r="M6" s="1063"/>
      <c r="N6" s="1049" t="s">
        <v>28</v>
      </c>
    </row>
    <row r="7" spans="1:14" ht="34.5" customHeight="1" thickBot="1">
      <c r="A7" s="1053"/>
      <c r="B7" s="1055" t="s">
        <v>591</v>
      </c>
      <c r="C7" s="1056"/>
      <c r="D7" s="1057"/>
      <c r="E7" s="1055" t="s">
        <v>590</v>
      </c>
      <c r="F7" s="1056"/>
      <c r="G7" s="1057"/>
      <c r="H7" s="1055" t="s">
        <v>591</v>
      </c>
      <c r="I7" s="1056"/>
      <c r="J7" s="1057"/>
      <c r="K7" s="1055" t="s">
        <v>590</v>
      </c>
      <c r="L7" s="1056"/>
      <c r="M7" s="1057"/>
      <c r="N7" s="1054"/>
    </row>
    <row r="8" spans="1:14" ht="33" customHeight="1">
      <c r="A8" s="1046"/>
      <c r="B8" s="563" t="s">
        <v>1031</v>
      </c>
      <c r="C8" s="563" t="s">
        <v>1032</v>
      </c>
      <c r="D8" s="563" t="s">
        <v>450</v>
      </c>
      <c r="E8" s="563" t="s">
        <v>20</v>
      </c>
      <c r="F8" s="563" t="s">
        <v>21</v>
      </c>
      <c r="G8" s="563" t="s">
        <v>450</v>
      </c>
      <c r="H8" s="563" t="s">
        <v>1031</v>
      </c>
      <c r="I8" s="563" t="s">
        <v>1032</v>
      </c>
      <c r="J8" s="563" t="s">
        <v>450</v>
      </c>
      <c r="K8" s="563" t="s">
        <v>20</v>
      </c>
      <c r="L8" s="563" t="s">
        <v>21</v>
      </c>
      <c r="M8" s="563" t="s">
        <v>450</v>
      </c>
      <c r="N8" s="1051"/>
    </row>
    <row r="9" spans="1:14" ht="23.25" customHeight="1" thickBot="1">
      <c r="A9" s="579">
        <v>2016</v>
      </c>
      <c r="B9" s="128">
        <v>1</v>
      </c>
      <c r="C9" s="128">
        <v>0</v>
      </c>
      <c r="D9" s="130">
        <v>1</v>
      </c>
      <c r="E9" s="128">
        <v>1</v>
      </c>
      <c r="F9" s="128">
        <v>0</v>
      </c>
      <c r="G9" s="130">
        <v>1</v>
      </c>
      <c r="H9" s="128">
        <v>2</v>
      </c>
      <c r="I9" s="128">
        <v>0</v>
      </c>
      <c r="J9" s="130">
        <v>2</v>
      </c>
      <c r="K9" s="128">
        <v>2</v>
      </c>
      <c r="L9" s="128">
        <v>0</v>
      </c>
      <c r="M9" s="130">
        <v>2</v>
      </c>
      <c r="N9" s="577">
        <v>2016</v>
      </c>
    </row>
    <row r="10" spans="1:14" ht="23.25" customHeight="1" thickBot="1">
      <c r="A10" s="580">
        <v>2017</v>
      </c>
      <c r="B10" s="463">
        <v>1</v>
      </c>
      <c r="C10" s="463">
        <v>1</v>
      </c>
      <c r="D10" s="481">
        <v>2</v>
      </c>
      <c r="E10" s="463">
        <v>1</v>
      </c>
      <c r="F10" s="463">
        <v>1</v>
      </c>
      <c r="G10" s="481">
        <v>2</v>
      </c>
      <c r="H10" s="463">
        <v>0</v>
      </c>
      <c r="I10" s="463">
        <v>0</v>
      </c>
      <c r="J10" s="481">
        <v>0</v>
      </c>
      <c r="K10" s="463">
        <v>0</v>
      </c>
      <c r="L10" s="463">
        <v>0</v>
      </c>
      <c r="M10" s="481">
        <v>0</v>
      </c>
      <c r="N10" s="583">
        <v>2017</v>
      </c>
    </row>
    <row r="11" spans="1:14" s="88" customFormat="1" ht="23.25" customHeight="1" thickBot="1">
      <c r="A11" s="581">
        <v>2018</v>
      </c>
      <c r="B11" s="464">
        <v>2</v>
      </c>
      <c r="C11" s="464">
        <v>0</v>
      </c>
      <c r="D11" s="132">
        <v>2</v>
      </c>
      <c r="E11" s="464">
        <v>2</v>
      </c>
      <c r="F11" s="464">
        <v>0</v>
      </c>
      <c r="G11" s="132">
        <v>2</v>
      </c>
      <c r="H11" s="464">
        <v>0</v>
      </c>
      <c r="I11" s="464">
        <v>0</v>
      </c>
      <c r="J11" s="132">
        <v>0</v>
      </c>
      <c r="K11" s="464">
        <v>0</v>
      </c>
      <c r="L11" s="464">
        <v>0</v>
      </c>
      <c r="M11" s="132">
        <v>0</v>
      </c>
      <c r="N11" s="584">
        <v>2018</v>
      </c>
    </row>
    <row r="12" spans="1:14" ht="23.25" customHeight="1" thickBot="1">
      <c r="A12" s="580">
        <v>2019</v>
      </c>
      <c r="B12" s="463">
        <v>0</v>
      </c>
      <c r="C12" s="463">
        <v>0</v>
      </c>
      <c r="D12" s="481">
        <v>0</v>
      </c>
      <c r="E12" s="463">
        <v>0</v>
      </c>
      <c r="F12" s="463">
        <v>0</v>
      </c>
      <c r="G12" s="481">
        <v>0</v>
      </c>
      <c r="H12" s="463">
        <v>0</v>
      </c>
      <c r="I12" s="463">
        <v>0</v>
      </c>
      <c r="J12" s="481">
        <v>0</v>
      </c>
      <c r="K12" s="463">
        <v>0</v>
      </c>
      <c r="L12" s="463">
        <v>0</v>
      </c>
      <c r="M12" s="481">
        <v>0</v>
      </c>
      <c r="N12" s="583">
        <v>2019</v>
      </c>
    </row>
    <row r="13" spans="1:14" s="88" customFormat="1" ht="23.25" customHeight="1">
      <c r="A13" s="582">
        <v>2020</v>
      </c>
      <c r="B13" s="465">
        <v>0</v>
      </c>
      <c r="C13" s="465">
        <v>0</v>
      </c>
      <c r="D13" s="482">
        <v>0</v>
      </c>
      <c r="E13" s="465">
        <v>0</v>
      </c>
      <c r="F13" s="465">
        <v>0</v>
      </c>
      <c r="G13" s="482">
        <v>0</v>
      </c>
      <c r="H13" s="465">
        <v>0</v>
      </c>
      <c r="I13" s="465">
        <v>0</v>
      </c>
      <c r="J13" s="482">
        <v>0</v>
      </c>
      <c r="K13" s="465">
        <v>0</v>
      </c>
      <c r="L13" s="465">
        <v>0</v>
      </c>
      <c r="M13" s="482">
        <v>0</v>
      </c>
      <c r="N13" s="585">
        <v>2020</v>
      </c>
    </row>
  </sheetData>
  <mergeCells count="11">
    <mergeCell ref="A6:A8"/>
    <mergeCell ref="N6:N8"/>
    <mergeCell ref="A1:N1"/>
    <mergeCell ref="A2:N2"/>
    <mergeCell ref="A3:N3"/>
    <mergeCell ref="B7:D7"/>
    <mergeCell ref="E7:G7"/>
    <mergeCell ref="B6:G6"/>
    <mergeCell ref="H6:M6"/>
    <mergeCell ref="H7:J7"/>
    <mergeCell ref="K7:M7"/>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17"/>
  <sheetViews>
    <sheetView rightToLeft="1" view="pageBreakPreview" zoomScaleNormal="100" zoomScaleSheetLayoutView="100" workbookViewId="0">
      <selection activeCell="A17" sqref="A17:F17"/>
    </sheetView>
  </sheetViews>
  <sheetFormatPr defaultColWidth="9.140625" defaultRowHeight="12.75"/>
  <cols>
    <col min="1" max="1" width="20.140625" style="1" bestFit="1" customWidth="1"/>
    <col min="2" max="5" width="19.85546875" style="1" customWidth="1"/>
    <col min="6" max="6" width="23.140625" style="1" bestFit="1" customWidth="1"/>
    <col min="7" max="16384" width="9.140625" style="1"/>
  </cols>
  <sheetData>
    <row r="1" spans="1:7" ht="18">
      <c r="A1" s="1041" t="s">
        <v>36</v>
      </c>
      <c r="B1" s="1041"/>
      <c r="C1" s="1041"/>
      <c r="D1" s="1041"/>
      <c r="E1" s="1041"/>
      <c r="F1" s="1041"/>
    </row>
    <row r="2" spans="1:7" ht="15.75" customHeight="1">
      <c r="A2" s="1068" t="s">
        <v>561</v>
      </c>
      <c r="B2" s="1068"/>
      <c r="C2" s="1068"/>
      <c r="D2" s="1068"/>
      <c r="E2" s="1068"/>
      <c r="F2" s="1068"/>
    </row>
    <row r="3" spans="1:7" ht="15.75">
      <c r="A3" s="1069" t="s">
        <v>1318</v>
      </c>
      <c r="B3" s="1069"/>
      <c r="C3" s="1069"/>
      <c r="D3" s="1069"/>
      <c r="E3" s="1069"/>
      <c r="F3" s="1069"/>
    </row>
    <row r="4" spans="1:7" ht="15.75">
      <c r="A4" s="362"/>
      <c r="B4" s="362"/>
      <c r="C4" s="362"/>
      <c r="D4" s="362"/>
      <c r="E4" s="362"/>
      <c r="F4" s="362"/>
    </row>
    <row r="5" spans="1:7" s="29" customFormat="1" ht="20.25" customHeight="1">
      <c r="A5" s="363" t="s">
        <v>44</v>
      </c>
      <c r="B5" s="364"/>
      <c r="C5" s="365"/>
      <c r="D5" s="365"/>
      <c r="E5" s="365"/>
      <c r="F5" s="366" t="s">
        <v>385</v>
      </c>
      <c r="G5" s="30"/>
    </row>
    <row r="6" spans="1:7" ht="21" customHeight="1">
      <c r="A6" s="1064" t="s">
        <v>30</v>
      </c>
      <c r="B6" s="1042" t="s">
        <v>52</v>
      </c>
      <c r="C6" s="1042"/>
      <c r="D6" s="1042" t="s">
        <v>51</v>
      </c>
      <c r="E6" s="1042"/>
      <c r="F6" s="1066" t="s">
        <v>28</v>
      </c>
    </row>
    <row r="7" spans="1:7" ht="26.25">
      <c r="A7" s="1065"/>
      <c r="B7" s="398" t="s">
        <v>34</v>
      </c>
      <c r="C7" s="398" t="s">
        <v>33</v>
      </c>
      <c r="D7" s="398" t="s">
        <v>34</v>
      </c>
      <c r="E7" s="398" t="s">
        <v>33</v>
      </c>
      <c r="F7" s="1067"/>
    </row>
    <row r="8" spans="1:7" ht="24.95" customHeight="1" thickBot="1">
      <c r="A8" s="741">
        <v>2012</v>
      </c>
      <c r="B8" s="742">
        <v>26.174934725848566</v>
      </c>
      <c r="C8" s="742">
        <v>23.02741358760429</v>
      </c>
      <c r="D8" s="742">
        <v>28.814432989690722</v>
      </c>
      <c r="E8" s="742">
        <v>25.694668820678515</v>
      </c>
      <c r="F8" s="743">
        <v>2012</v>
      </c>
    </row>
    <row r="9" spans="1:7" ht="24.95" customHeight="1" thickBot="1">
      <c r="A9" s="18">
        <v>2013</v>
      </c>
      <c r="B9" s="26">
        <v>26.1</v>
      </c>
      <c r="C9" s="26">
        <v>23.5</v>
      </c>
      <c r="D9" s="26">
        <v>28.7</v>
      </c>
      <c r="E9" s="26">
        <v>26.1</v>
      </c>
      <c r="F9" s="16">
        <v>2013</v>
      </c>
    </row>
    <row r="10" spans="1:7" ht="24.95" customHeight="1" thickBot="1">
      <c r="A10" s="15">
        <v>2014</v>
      </c>
      <c r="B10" s="25">
        <v>26.5</v>
      </c>
      <c r="C10" s="25">
        <v>24.1</v>
      </c>
      <c r="D10" s="25">
        <v>28.9</v>
      </c>
      <c r="E10" s="25">
        <v>26.2</v>
      </c>
      <c r="F10" s="14">
        <v>2014</v>
      </c>
    </row>
    <row r="11" spans="1:7" ht="24.95" customHeight="1" thickBot="1">
      <c r="A11" s="18">
        <v>2015</v>
      </c>
      <c r="B11" s="26">
        <v>26.254914809960681</v>
      </c>
      <c r="C11" s="26">
        <v>23.829462102689487</v>
      </c>
      <c r="D11" s="26">
        <v>28.388975155279503</v>
      </c>
      <c r="E11" s="26">
        <v>25.96153846153846</v>
      </c>
      <c r="F11" s="16">
        <v>2015</v>
      </c>
    </row>
    <row r="12" spans="1:7" ht="24.95" customHeight="1" thickBot="1">
      <c r="A12" s="15">
        <v>2016</v>
      </c>
      <c r="B12" s="25">
        <v>26.3</v>
      </c>
      <c r="C12" s="25">
        <v>24.1</v>
      </c>
      <c r="D12" s="25">
        <v>28.9</v>
      </c>
      <c r="E12" s="25">
        <v>26.2</v>
      </c>
      <c r="F12" s="14">
        <v>2016</v>
      </c>
    </row>
    <row r="13" spans="1:7" ht="24.95" customHeight="1" thickBot="1">
      <c r="A13" s="18">
        <v>2017</v>
      </c>
      <c r="B13" s="26">
        <v>26.6</v>
      </c>
      <c r="C13" s="26">
        <v>24</v>
      </c>
      <c r="D13" s="26">
        <v>29.1</v>
      </c>
      <c r="E13" s="26">
        <v>26.7</v>
      </c>
      <c r="F13" s="16">
        <v>2017</v>
      </c>
    </row>
    <row r="14" spans="1:7" ht="24.95" customHeight="1" thickBot="1">
      <c r="A14" s="15">
        <v>2018</v>
      </c>
      <c r="B14" s="25">
        <v>26.7</v>
      </c>
      <c r="C14" s="25">
        <v>24.5</v>
      </c>
      <c r="D14" s="25">
        <v>29.7</v>
      </c>
      <c r="E14" s="25">
        <v>27.2</v>
      </c>
      <c r="F14" s="14">
        <v>2018</v>
      </c>
    </row>
    <row r="15" spans="1:7" ht="24.95" customHeight="1" thickBot="1">
      <c r="A15" s="18">
        <v>2019</v>
      </c>
      <c r="B15" s="26">
        <v>26.9</v>
      </c>
      <c r="C15" s="26">
        <v>24.4</v>
      </c>
      <c r="D15" s="26">
        <v>29.5</v>
      </c>
      <c r="E15" s="26">
        <v>27.1</v>
      </c>
      <c r="F15" s="16">
        <v>2019</v>
      </c>
    </row>
    <row r="16" spans="1:7" ht="24.95" customHeight="1" thickBot="1">
      <c r="A16" s="211">
        <v>2020</v>
      </c>
      <c r="B16" s="749">
        <v>27.2</v>
      </c>
      <c r="C16" s="749">
        <v>24.8</v>
      </c>
      <c r="D16" s="749">
        <v>30.1</v>
      </c>
      <c r="E16" s="749">
        <v>27.7</v>
      </c>
      <c r="F16" s="213">
        <v>2020</v>
      </c>
    </row>
    <row r="17" spans="1:6" ht="24.95" customHeight="1">
      <c r="A17" s="13">
        <v>2021</v>
      </c>
      <c r="B17" s="24">
        <v>27.4</v>
      </c>
      <c r="C17" s="24">
        <v>24.9</v>
      </c>
      <c r="D17" s="24">
        <v>30.3</v>
      </c>
      <c r="E17" s="24">
        <v>27.9</v>
      </c>
      <c r="F17" s="1010">
        <v>2021</v>
      </c>
    </row>
  </sheetData>
  <mergeCells count="7">
    <mergeCell ref="A1:F1"/>
    <mergeCell ref="A6:A7"/>
    <mergeCell ref="F6:F7"/>
    <mergeCell ref="A2:F2"/>
    <mergeCell ref="A3:F3"/>
    <mergeCell ref="B6:C6"/>
    <mergeCell ref="D6:E6"/>
  </mergeCells>
  <printOptions horizontalCentered="1" verticalCentered="1"/>
  <pageMargins left="0" right="0" top="0" bottom="0"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36"/>
  <sheetViews>
    <sheetView rightToLeft="1" view="pageBreakPreview" topLeftCell="A4" zoomScaleNormal="100" zoomScaleSheetLayoutView="100" workbookViewId="0">
      <selection activeCell="O12" sqref="O12"/>
    </sheetView>
  </sheetViews>
  <sheetFormatPr defaultColWidth="9.140625" defaultRowHeight="12.75"/>
  <cols>
    <col min="1" max="16384" width="9.140625" style="1"/>
  </cols>
  <sheetData>
    <row r="1" spans="1:1" ht="36" customHeight="1"/>
    <row r="11" spans="1:1">
      <c r="A11" s="390"/>
    </row>
    <row r="36" spans="1:13" ht="15.75">
      <c r="A36" s="1070" t="s">
        <v>37</v>
      </c>
      <c r="B36" s="1070"/>
      <c r="C36" s="1070"/>
      <c r="D36" s="1070"/>
      <c r="E36" s="1070"/>
      <c r="F36" s="1070"/>
      <c r="G36" s="1070"/>
      <c r="H36" s="1070"/>
      <c r="I36" s="1070"/>
      <c r="J36" s="1070"/>
      <c r="K36" s="1070"/>
      <c r="L36" s="1070"/>
      <c r="M36" s="1070"/>
    </row>
  </sheetData>
  <mergeCells count="1">
    <mergeCell ref="A36:M36"/>
  </mergeCells>
  <printOptions horizontalCentered="1" verticalCentered="1"/>
  <pageMargins left="0" right="0" top="0" bottom="0" header="0" footer="0"/>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17"/>
  <sheetViews>
    <sheetView rightToLeft="1" view="pageBreakPreview" zoomScaleNormal="100" zoomScaleSheetLayoutView="100" workbookViewId="0">
      <selection activeCell="E13" sqref="E13"/>
    </sheetView>
  </sheetViews>
  <sheetFormatPr defaultColWidth="9.140625" defaultRowHeight="12.75"/>
  <cols>
    <col min="1" max="1" width="20.140625" style="1" bestFit="1" customWidth="1"/>
    <col min="2" max="5" width="19.7109375" style="1" customWidth="1"/>
    <col min="6" max="6" width="23.140625" style="1" bestFit="1" customWidth="1"/>
    <col min="7" max="16384" width="9.140625" style="1"/>
  </cols>
  <sheetData>
    <row r="1" spans="1:7" ht="18">
      <c r="A1" s="1041" t="s">
        <v>562</v>
      </c>
      <c r="B1" s="1041"/>
      <c r="C1" s="1041"/>
      <c r="D1" s="1041"/>
      <c r="E1" s="1041"/>
      <c r="F1" s="1041"/>
    </row>
    <row r="2" spans="1:7" ht="15.75" customHeight="1">
      <c r="A2" s="1068" t="s">
        <v>45</v>
      </c>
      <c r="B2" s="1068"/>
      <c r="C2" s="1068"/>
      <c r="D2" s="1068"/>
      <c r="E2" s="1068"/>
      <c r="F2" s="1068"/>
    </row>
    <row r="3" spans="1:7" ht="15.75">
      <c r="A3" s="1069" t="s">
        <v>1318</v>
      </c>
      <c r="B3" s="1069"/>
      <c r="C3" s="1069"/>
      <c r="D3" s="1069"/>
      <c r="E3" s="1069"/>
      <c r="F3" s="1069"/>
    </row>
    <row r="4" spans="1:7" ht="15.75">
      <c r="A4" s="362"/>
      <c r="B4" s="362"/>
      <c r="C4" s="362"/>
      <c r="D4" s="362"/>
      <c r="E4" s="362"/>
      <c r="F4" s="362"/>
    </row>
    <row r="5" spans="1:7" s="29" customFormat="1" ht="20.25" customHeight="1">
      <c r="A5" s="363" t="s">
        <v>53</v>
      </c>
      <c r="B5" s="365"/>
      <c r="C5" s="365"/>
      <c r="D5" s="365"/>
      <c r="E5" s="365"/>
      <c r="F5" s="366" t="s">
        <v>384</v>
      </c>
      <c r="G5" s="30"/>
    </row>
    <row r="6" spans="1:7" ht="24" customHeight="1" thickBot="1">
      <c r="A6" s="1071" t="s">
        <v>30</v>
      </c>
      <c r="B6" s="35" t="s">
        <v>43</v>
      </c>
      <c r="C6" s="34" t="s">
        <v>42</v>
      </c>
      <c r="D6" s="35" t="s">
        <v>41</v>
      </c>
      <c r="E6" s="34" t="s">
        <v>40</v>
      </c>
      <c r="F6" s="1073" t="s">
        <v>28</v>
      </c>
    </row>
    <row r="7" spans="1:7" ht="25.5" customHeight="1">
      <c r="A7" s="1072"/>
      <c r="B7" s="422" t="s">
        <v>679</v>
      </c>
      <c r="C7" s="422" t="s">
        <v>39</v>
      </c>
      <c r="D7" s="422" t="s">
        <v>680</v>
      </c>
      <c r="E7" s="422" t="s">
        <v>38</v>
      </c>
      <c r="F7" s="1074"/>
    </row>
    <row r="8" spans="1:7" ht="24.95" customHeight="1" thickBot="1">
      <c r="A8" s="741">
        <v>2012</v>
      </c>
      <c r="B8" s="1011">
        <v>3532</v>
      </c>
      <c r="C8" s="942">
        <v>1.9</v>
      </c>
      <c r="D8" s="1011">
        <v>1420</v>
      </c>
      <c r="E8" s="942">
        <v>0.8</v>
      </c>
      <c r="F8" s="743">
        <v>2012</v>
      </c>
    </row>
    <row r="9" spans="1:7" ht="24.95" customHeight="1" thickBot="1">
      <c r="A9" s="18">
        <v>2013</v>
      </c>
      <c r="B9" s="32">
        <v>3619</v>
      </c>
      <c r="C9" s="26">
        <v>1.8</v>
      </c>
      <c r="D9" s="32">
        <v>1325</v>
      </c>
      <c r="E9" s="26">
        <v>0.7</v>
      </c>
      <c r="F9" s="16">
        <v>2013</v>
      </c>
    </row>
    <row r="10" spans="1:7" ht="24.95" customHeight="1" thickBot="1">
      <c r="A10" s="15">
        <v>2014</v>
      </c>
      <c r="B10" s="31">
        <v>3674</v>
      </c>
      <c r="C10" s="25">
        <v>1.7</v>
      </c>
      <c r="D10" s="31">
        <v>1315</v>
      </c>
      <c r="E10" s="25">
        <v>0.6</v>
      </c>
      <c r="F10" s="14">
        <v>2014</v>
      </c>
    </row>
    <row r="11" spans="1:7" ht="24.95" customHeight="1" thickBot="1">
      <c r="A11" s="18">
        <v>2015</v>
      </c>
      <c r="B11" s="32">
        <v>3724</v>
      </c>
      <c r="C11" s="26">
        <v>1.5276131250025637</v>
      </c>
      <c r="D11" s="32">
        <v>1307</v>
      </c>
      <c r="E11" s="26">
        <v>0.53614134113274736</v>
      </c>
      <c r="F11" s="16">
        <v>2015</v>
      </c>
    </row>
    <row r="12" spans="1:7" ht="24.95" customHeight="1" thickBot="1">
      <c r="A12" s="15">
        <v>2016</v>
      </c>
      <c r="B12" s="31">
        <v>3830</v>
      </c>
      <c r="C12" s="25">
        <v>1.4631533667426386</v>
      </c>
      <c r="D12" s="31">
        <v>1151</v>
      </c>
      <c r="E12" s="25">
        <v>0.4397100587782708</v>
      </c>
      <c r="F12" s="14">
        <v>2016</v>
      </c>
    </row>
    <row r="13" spans="1:7" ht="24.95" customHeight="1" thickBot="1">
      <c r="A13" s="18">
        <v>2017</v>
      </c>
      <c r="B13" s="32">
        <v>3718</v>
      </c>
      <c r="C13" s="26">
        <v>1.3646009734985536</v>
      </c>
      <c r="D13" s="32">
        <v>1206</v>
      </c>
      <c r="E13" s="26">
        <v>0.44263280635805691</v>
      </c>
      <c r="F13" s="16">
        <v>2017</v>
      </c>
    </row>
    <row r="14" spans="1:7" ht="24.95" customHeight="1" thickBot="1">
      <c r="A14" s="15">
        <v>2018</v>
      </c>
      <c r="B14" s="31">
        <v>3758</v>
      </c>
      <c r="C14" s="25">
        <v>1.3615103417543122</v>
      </c>
      <c r="D14" s="31">
        <v>1182</v>
      </c>
      <c r="E14" s="25">
        <v>0.42823449280297954</v>
      </c>
      <c r="F14" s="14">
        <v>2018</v>
      </c>
    </row>
    <row r="15" spans="1:7" ht="24.95" customHeight="1" thickBot="1">
      <c r="A15" s="18">
        <v>2019</v>
      </c>
      <c r="B15" s="32">
        <v>3621</v>
      </c>
      <c r="C15" s="26">
        <v>1.2935829568569901</v>
      </c>
      <c r="D15" s="32">
        <v>1833</v>
      </c>
      <c r="E15" s="26">
        <v>0.65482948354566772</v>
      </c>
      <c r="F15" s="16">
        <v>2019</v>
      </c>
    </row>
    <row r="16" spans="1:7" ht="24.95" customHeight="1" thickBot="1">
      <c r="A16" s="15">
        <v>2020</v>
      </c>
      <c r="B16" s="31">
        <v>4247</v>
      </c>
      <c r="C16" s="25">
        <v>1.5</v>
      </c>
      <c r="D16" s="31">
        <v>1828</v>
      </c>
      <c r="E16" s="25">
        <v>0.6</v>
      </c>
      <c r="F16" s="14">
        <v>2020</v>
      </c>
    </row>
    <row r="17" spans="1:6" ht="24.95" customHeight="1">
      <c r="A17" s="13">
        <v>2021</v>
      </c>
      <c r="B17" s="603">
        <v>4390</v>
      </c>
      <c r="C17" s="24">
        <v>1.6</v>
      </c>
      <c r="D17" s="603">
        <v>2141</v>
      </c>
      <c r="E17" s="24">
        <v>0.8</v>
      </c>
      <c r="F17" s="967">
        <v>2021</v>
      </c>
    </row>
  </sheetData>
  <mergeCells count="5">
    <mergeCell ref="A6:A7"/>
    <mergeCell ref="F6:F7"/>
    <mergeCell ref="A1:F1"/>
    <mergeCell ref="A2:F2"/>
    <mergeCell ref="A3:F3"/>
  </mergeCells>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34"/>
  <sheetViews>
    <sheetView rightToLeft="1" view="pageBreakPreview" zoomScaleNormal="100" zoomScaleSheetLayoutView="100" workbookViewId="0">
      <selection activeCell="P12" sqref="P12"/>
    </sheetView>
  </sheetViews>
  <sheetFormatPr defaultColWidth="9.140625" defaultRowHeight="12.75"/>
  <cols>
    <col min="1" max="16384" width="9.140625" style="1"/>
  </cols>
  <sheetData>
    <row r="1" spans="1:13" ht="33" customHeight="1">
      <c r="A1" s="88"/>
      <c r="B1" s="88"/>
      <c r="C1" s="88"/>
      <c r="D1" s="88"/>
      <c r="E1" s="88"/>
      <c r="F1" s="88"/>
      <c r="G1" s="88"/>
      <c r="H1" s="88"/>
      <c r="I1" s="88"/>
      <c r="J1" s="88"/>
      <c r="K1" s="88"/>
      <c r="L1" s="88"/>
      <c r="M1" s="88"/>
    </row>
    <row r="2" spans="1:13">
      <c r="A2" s="88"/>
      <c r="B2" s="88"/>
      <c r="C2" s="88"/>
      <c r="D2" s="88"/>
      <c r="E2" s="88"/>
      <c r="F2" s="88"/>
      <c r="G2" s="88"/>
      <c r="H2" s="88"/>
      <c r="I2" s="88"/>
      <c r="J2" s="88"/>
      <c r="K2" s="88"/>
      <c r="L2" s="88"/>
      <c r="M2" s="88"/>
    </row>
    <row r="3" spans="1:13">
      <c r="A3" s="88"/>
      <c r="B3" s="88"/>
      <c r="C3" s="88"/>
      <c r="D3" s="88"/>
      <c r="E3" s="88"/>
      <c r="F3" s="88"/>
      <c r="G3" s="88"/>
      <c r="H3" s="88"/>
      <c r="I3" s="88"/>
      <c r="J3" s="88"/>
      <c r="K3" s="88"/>
      <c r="L3" s="88"/>
      <c r="M3" s="88"/>
    </row>
    <row r="4" spans="1:13">
      <c r="A4" s="88"/>
      <c r="B4" s="88"/>
      <c r="C4" s="88"/>
      <c r="D4" s="88"/>
      <c r="E4" s="88"/>
      <c r="F4" s="88"/>
      <c r="G4" s="88"/>
      <c r="H4" s="88"/>
      <c r="I4" s="88"/>
      <c r="J4" s="88"/>
      <c r="K4" s="88"/>
      <c r="L4" s="88"/>
      <c r="M4" s="88"/>
    </row>
    <row r="5" spans="1:13">
      <c r="A5" s="88"/>
      <c r="B5" s="88"/>
      <c r="C5" s="88"/>
      <c r="D5" s="88"/>
      <c r="E5" s="88"/>
      <c r="F5" s="88"/>
      <c r="G5" s="88"/>
      <c r="H5" s="88"/>
      <c r="I5" s="88"/>
      <c r="J5" s="88"/>
      <c r="K5" s="88"/>
      <c r="L5" s="88"/>
      <c r="M5" s="88"/>
    </row>
    <row r="6" spans="1:13">
      <c r="A6" s="88"/>
      <c r="B6" s="88"/>
      <c r="C6" s="88"/>
      <c r="D6" s="88"/>
      <c r="E6" s="88"/>
      <c r="F6" s="88"/>
      <c r="G6" s="88"/>
      <c r="H6" s="88"/>
      <c r="I6" s="88"/>
      <c r="J6" s="88"/>
      <c r="K6" s="88"/>
      <c r="L6" s="88"/>
      <c r="M6" s="88"/>
    </row>
    <row r="7" spans="1:13">
      <c r="A7" s="88"/>
      <c r="B7" s="88"/>
      <c r="C7" s="88"/>
      <c r="D7" s="88"/>
      <c r="E7" s="88"/>
      <c r="F7" s="88"/>
      <c r="G7" s="88"/>
      <c r="H7" s="88"/>
      <c r="I7" s="88"/>
      <c r="J7" s="88"/>
      <c r="K7" s="88"/>
      <c r="L7" s="88"/>
      <c r="M7" s="88"/>
    </row>
    <row r="8" spans="1:13">
      <c r="A8" s="88"/>
      <c r="B8" s="88"/>
      <c r="C8" s="88"/>
      <c r="D8" s="88"/>
      <c r="E8" s="88"/>
      <c r="F8" s="88"/>
      <c r="G8" s="88"/>
      <c r="H8" s="88"/>
      <c r="I8" s="88"/>
      <c r="J8" s="88"/>
      <c r="K8" s="88"/>
      <c r="L8" s="88"/>
      <c r="M8" s="88"/>
    </row>
    <row r="9" spans="1:13">
      <c r="A9" s="88"/>
      <c r="B9" s="88"/>
      <c r="C9" s="88"/>
      <c r="D9" s="88"/>
      <c r="E9" s="88"/>
      <c r="F9" s="88"/>
      <c r="G9" s="88"/>
      <c r="H9" s="88"/>
      <c r="I9" s="88"/>
      <c r="J9" s="88"/>
      <c r="K9" s="88"/>
      <c r="L9" s="88"/>
      <c r="M9" s="88"/>
    </row>
    <row r="10" spans="1:13">
      <c r="A10" s="88"/>
      <c r="B10" s="88"/>
      <c r="C10" s="88"/>
      <c r="D10" s="88"/>
      <c r="E10" s="88"/>
      <c r="F10" s="88"/>
      <c r="G10" s="88"/>
      <c r="H10" s="88"/>
      <c r="I10" s="88"/>
      <c r="J10" s="88"/>
      <c r="K10" s="88"/>
      <c r="L10" s="88"/>
      <c r="M10" s="88"/>
    </row>
    <row r="11" spans="1:13">
      <c r="A11" s="88"/>
      <c r="B11" s="88"/>
      <c r="C11" s="88"/>
      <c r="D11" s="88"/>
      <c r="E11" s="88"/>
      <c r="F11" s="88"/>
      <c r="G11" s="88"/>
      <c r="H11" s="88"/>
      <c r="I11" s="88"/>
      <c r="J11" s="88"/>
      <c r="K11" s="88"/>
      <c r="L11" s="88"/>
      <c r="M11" s="88"/>
    </row>
    <row r="12" spans="1:13">
      <c r="A12" s="88"/>
      <c r="B12" s="88"/>
      <c r="C12" s="88"/>
      <c r="D12" s="88"/>
      <c r="E12" s="88"/>
      <c r="F12" s="88"/>
      <c r="G12" s="88"/>
      <c r="H12" s="88"/>
      <c r="I12" s="88"/>
      <c r="J12" s="88"/>
      <c r="K12" s="88"/>
      <c r="L12" s="88"/>
      <c r="M12" s="88"/>
    </row>
    <row r="13" spans="1:13">
      <c r="A13" s="88"/>
      <c r="B13" s="88"/>
      <c r="C13" s="88"/>
      <c r="D13" s="88"/>
      <c r="E13" s="88"/>
      <c r="F13" s="88"/>
      <c r="G13" s="88"/>
      <c r="H13" s="88"/>
      <c r="I13" s="88"/>
      <c r="J13" s="88"/>
      <c r="K13" s="88"/>
      <c r="L13" s="88"/>
      <c r="M13" s="88"/>
    </row>
    <row r="14" spans="1:13">
      <c r="A14" s="88"/>
      <c r="B14" s="88"/>
      <c r="C14" s="88"/>
      <c r="D14" s="88"/>
      <c r="E14" s="88"/>
      <c r="F14" s="88"/>
      <c r="G14" s="88"/>
      <c r="H14" s="88"/>
      <c r="I14" s="88"/>
      <c r="J14" s="88"/>
      <c r="K14" s="88"/>
      <c r="L14" s="88"/>
      <c r="M14" s="88"/>
    </row>
    <row r="15" spans="1:13">
      <c r="A15" s="88"/>
      <c r="B15" s="88"/>
      <c r="C15" s="88"/>
      <c r="D15" s="88"/>
      <c r="E15" s="88"/>
      <c r="F15" s="88"/>
      <c r="G15" s="88"/>
      <c r="H15" s="88"/>
      <c r="I15" s="88"/>
      <c r="J15" s="88"/>
      <c r="K15" s="88"/>
      <c r="L15" s="88"/>
      <c r="M15" s="88"/>
    </row>
    <row r="16" spans="1:13">
      <c r="A16" s="88"/>
      <c r="B16" s="88"/>
      <c r="C16" s="88"/>
      <c r="D16" s="88"/>
      <c r="E16" s="88"/>
      <c r="F16" s="88"/>
      <c r="G16" s="88"/>
      <c r="H16" s="88"/>
      <c r="I16" s="88"/>
      <c r="J16" s="88"/>
      <c r="K16" s="88"/>
      <c r="L16" s="88"/>
      <c r="M16" s="88"/>
    </row>
    <row r="17" spans="1:13">
      <c r="A17" s="88"/>
      <c r="B17" s="88"/>
      <c r="C17" s="88"/>
      <c r="D17" s="88"/>
      <c r="E17" s="88"/>
      <c r="F17" s="88"/>
      <c r="G17" s="88"/>
      <c r="H17" s="88"/>
      <c r="I17" s="88"/>
      <c r="J17" s="88"/>
      <c r="K17" s="88"/>
      <c r="L17" s="88"/>
      <c r="M17" s="88"/>
    </row>
    <row r="18" spans="1:13">
      <c r="A18" s="88"/>
      <c r="B18" s="88"/>
      <c r="C18" s="88"/>
      <c r="D18" s="88"/>
      <c r="E18" s="88"/>
      <c r="F18" s="88"/>
      <c r="G18" s="88"/>
      <c r="H18" s="88"/>
      <c r="I18" s="88"/>
      <c r="J18" s="88"/>
      <c r="K18" s="88"/>
      <c r="L18" s="88"/>
      <c r="M18" s="88"/>
    </row>
    <row r="19" spans="1:13">
      <c r="A19" s="88"/>
      <c r="B19" s="88"/>
      <c r="C19" s="88"/>
      <c r="D19" s="88"/>
      <c r="E19" s="88"/>
      <c r="F19" s="88"/>
      <c r="G19" s="88"/>
      <c r="H19" s="88"/>
      <c r="I19" s="88"/>
      <c r="J19" s="88"/>
      <c r="K19" s="88"/>
      <c r="L19" s="88"/>
      <c r="M19" s="88"/>
    </row>
    <row r="20" spans="1:13">
      <c r="A20" s="88"/>
      <c r="B20" s="88"/>
      <c r="C20" s="88"/>
      <c r="D20" s="88"/>
      <c r="E20" s="88"/>
      <c r="F20" s="88"/>
      <c r="G20" s="88"/>
      <c r="H20" s="88"/>
      <c r="I20" s="88"/>
      <c r="J20" s="88"/>
      <c r="K20" s="88"/>
      <c r="L20" s="88"/>
      <c r="M20" s="88"/>
    </row>
    <row r="21" spans="1:13">
      <c r="A21" s="88"/>
      <c r="B21" s="88"/>
      <c r="C21" s="88"/>
      <c r="D21" s="88"/>
      <c r="E21" s="88"/>
      <c r="F21" s="88"/>
      <c r="G21" s="88"/>
      <c r="H21" s="88"/>
      <c r="I21" s="88"/>
      <c r="J21" s="88"/>
      <c r="K21" s="88"/>
      <c r="L21" s="88"/>
      <c r="M21" s="88"/>
    </row>
    <row r="22" spans="1:13">
      <c r="A22" s="88"/>
      <c r="B22" s="88"/>
      <c r="C22" s="88"/>
      <c r="D22" s="88"/>
      <c r="E22" s="88"/>
      <c r="F22" s="88"/>
      <c r="G22" s="88"/>
      <c r="H22" s="88"/>
      <c r="I22" s="88"/>
      <c r="J22" s="88"/>
      <c r="K22" s="88"/>
      <c r="L22" s="88"/>
      <c r="M22" s="88"/>
    </row>
    <row r="23" spans="1:13">
      <c r="A23" s="88"/>
      <c r="B23" s="88"/>
      <c r="C23" s="88"/>
      <c r="D23" s="88"/>
      <c r="E23" s="88"/>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ht="15.75">
      <c r="A34" s="1052" t="s">
        <v>46</v>
      </c>
      <c r="B34" s="1052"/>
      <c r="C34" s="1052"/>
      <c r="D34" s="1052"/>
      <c r="E34" s="1052"/>
      <c r="F34" s="1052"/>
      <c r="G34" s="1052"/>
      <c r="H34" s="1052"/>
      <c r="I34" s="1052"/>
      <c r="J34" s="1052"/>
      <c r="K34" s="1052"/>
      <c r="L34" s="1052"/>
      <c r="M34" s="1052"/>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O18"/>
  <sheetViews>
    <sheetView rightToLeft="1" view="pageBreakPreview" topLeftCell="A4" zoomScaleNormal="100" zoomScaleSheetLayoutView="100" workbookViewId="0">
      <selection activeCell="H20" sqref="H20"/>
    </sheetView>
  </sheetViews>
  <sheetFormatPr defaultColWidth="9.140625" defaultRowHeight="12.75"/>
  <cols>
    <col min="1" max="1" width="13.85546875" style="1" customWidth="1"/>
    <col min="2" max="13" width="10.7109375" style="1" customWidth="1"/>
    <col min="14" max="14" width="13.85546875" style="1" customWidth="1"/>
    <col min="15" max="16384" width="9.140625" style="1"/>
  </cols>
  <sheetData>
    <row r="1" spans="1:15" ht="18">
      <c r="A1" s="1041" t="s">
        <v>563</v>
      </c>
      <c r="B1" s="1041"/>
      <c r="C1" s="1041"/>
      <c r="D1" s="1041"/>
      <c r="E1" s="1041"/>
      <c r="F1" s="1041"/>
      <c r="G1" s="1041"/>
      <c r="H1" s="1041"/>
      <c r="I1" s="1041"/>
      <c r="J1" s="1041"/>
      <c r="K1" s="1041"/>
      <c r="L1" s="1041"/>
      <c r="M1" s="1041"/>
      <c r="N1" s="1041"/>
    </row>
    <row r="2" spans="1:15" ht="33" customHeight="1">
      <c r="A2" s="1068" t="s">
        <v>539</v>
      </c>
      <c r="B2" s="1068"/>
      <c r="C2" s="1068"/>
      <c r="D2" s="1068"/>
      <c r="E2" s="1068"/>
      <c r="F2" s="1068"/>
      <c r="G2" s="1068"/>
      <c r="H2" s="1068"/>
      <c r="I2" s="1068"/>
      <c r="J2" s="1068"/>
      <c r="K2" s="1068"/>
      <c r="L2" s="1068"/>
      <c r="M2" s="1068"/>
      <c r="N2" s="1068"/>
    </row>
    <row r="3" spans="1:15" ht="15.75">
      <c r="A3" s="1069" t="s">
        <v>1318</v>
      </c>
      <c r="B3" s="1069"/>
      <c r="C3" s="1069"/>
      <c r="D3" s="1069"/>
      <c r="E3" s="1069"/>
      <c r="F3" s="1069"/>
      <c r="G3" s="1069"/>
      <c r="H3" s="1069"/>
      <c r="I3" s="1069"/>
      <c r="J3" s="1069"/>
      <c r="K3" s="1069"/>
      <c r="L3" s="1069"/>
      <c r="M3" s="1069"/>
      <c r="N3" s="1069"/>
    </row>
    <row r="4" spans="1:15" ht="15.75">
      <c r="A4" s="1069"/>
      <c r="B4" s="1069"/>
      <c r="C4" s="1069"/>
      <c r="D4" s="1069"/>
      <c r="E4" s="1069"/>
      <c r="F4" s="1069"/>
      <c r="G4" s="1069"/>
      <c r="H4" s="1069"/>
      <c r="I4" s="1069"/>
      <c r="J4" s="1069"/>
      <c r="K4" s="1069"/>
      <c r="L4" s="1069"/>
      <c r="M4" s="1069"/>
      <c r="N4" s="1069"/>
    </row>
    <row r="5" spans="1:15" ht="20.25" customHeight="1">
      <c r="A5" s="367" t="s">
        <v>65</v>
      </c>
      <c r="B5" s="364"/>
      <c r="C5" s="368"/>
      <c r="D5" s="368"/>
      <c r="E5" s="369"/>
      <c r="F5" s="364"/>
      <c r="G5" s="368"/>
      <c r="H5" s="368"/>
      <c r="I5" s="369"/>
      <c r="J5" s="364"/>
      <c r="K5" s="368"/>
      <c r="L5" s="368"/>
      <c r="M5" s="369"/>
      <c r="N5" s="370" t="s">
        <v>383</v>
      </c>
      <c r="O5" s="37"/>
    </row>
    <row r="6" spans="1:15" ht="30.75" customHeight="1">
      <c r="A6" s="1078" t="s">
        <v>30</v>
      </c>
      <c r="B6" s="1075" t="s">
        <v>52</v>
      </c>
      <c r="C6" s="1075"/>
      <c r="D6" s="1075"/>
      <c r="E6" s="1075"/>
      <c r="F6" s="1075" t="s">
        <v>51</v>
      </c>
      <c r="G6" s="1075"/>
      <c r="H6" s="1075"/>
      <c r="I6" s="1075"/>
      <c r="J6" s="1075" t="s">
        <v>1</v>
      </c>
      <c r="K6" s="1075"/>
      <c r="L6" s="1075"/>
      <c r="M6" s="1075"/>
      <c r="N6" s="1076" t="s">
        <v>28</v>
      </c>
    </row>
    <row r="7" spans="1:15" ht="30.75" customHeight="1">
      <c r="A7" s="1078"/>
      <c r="B7" s="1075" t="s">
        <v>50</v>
      </c>
      <c r="C7" s="1075"/>
      <c r="D7" s="1075" t="s">
        <v>49</v>
      </c>
      <c r="E7" s="1075"/>
      <c r="F7" s="1075" t="s">
        <v>50</v>
      </c>
      <c r="G7" s="1075"/>
      <c r="H7" s="1075" t="s">
        <v>49</v>
      </c>
      <c r="I7" s="1075"/>
      <c r="J7" s="1075" t="s">
        <v>50</v>
      </c>
      <c r="K7" s="1075"/>
      <c r="L7" s="1075" t="s">
        <v>49</v>
      </c>
      <c r="M7" s="1075"/>
      <c r="N7" s="1076"/>
    </row>
    <row r="8" spans="1:15" ht="66.75" customHeight="1">
      <c r="A8" s="1079"/>
      <c r="B8" s="412" t="s">
        <v>48</v>
      </c>
      <c r="C8" s="412" t="s">
        <v>47</v>
      </c>
      <c r="D8" s="412" t="s">
        <v>48</v>
      </c>
      <c r="E8" s="412" t="s">
        <v>47</v>
      </c>
      <c r="F8" s="412" t="s">
        <v>48</v>
      </c>
      <c r="G8" s="412" t="s">
        <v>47</v>
      </c>
      <c r="H8" s="412" t="s">
        <v>48</v>
      </c>
      <c r="I8" s="412" t="s">
        <v>47</v>
      </c>
      <c r="J8" s="412" t="s">
        <v>48</v>
      </c>
      <c r="K8" s="412" t="s">
        <v>47</v>
      </c>
      <c r="L8" s="412" t="s">
        <v>48</v>
      </c>
      <c r="M8" s="412" t="s">
        <v>47</v>
      </c>
      <c r="N8" s="1077"/>
    </row>
    <row r="9" spans="1:15" ht="24.95" customHeight="1" thickBot="1">
      <c r="A9" s="592">
        <v>2012</v>
      </c>
      <c r="B9" s="593">
        <v>2053</v>
      </c>
      <c r="C9" s="594">
        <v>26.3</v>
      </c>
      <c r="D9" s="593">
        <v>2067</v>
      </c>
      <c r="E9" s="594">
        <v>25.1</v>
      </c>
      <c r="F9" s="593">
        <v>1479</v>
      </c>
      <c r="G9" s="594">
        <v>1.3</v>
      </c>
      <c r="H9" s="593">
        <v>1465</v>
      </c>
      <c r="I9" s="594">
        <v>5.6</v>
      </c>
      <c r="J9" s="595">
        <f t="shared" ref="J9:J12" si="0">F9+B9</f>
        <v>3532</v>
      </c>
      <c r="K9" s="596">
        <v>2.9</v>
      </c>
      <c r="L9" s="595">
        <f t="shared" ref="L9:L14" si="1">H9+D9</f>
        <v>3532</v>
      </c>
      <c r="M9" s="596">
        <v>10.3</v>
      </c>
      <c r="N9" s="597">
        <v>2012</v>
      </c>
    </row>
    <row r="10" spans="1:15" ht="24.95" customHeight="1" thickBot="1">
      <c r="A10" s="18">
        <v>2013</v>
      </c>
      <c r="B10" s="32">
        <v>2072</v>
      </c>
      <c r="C10" s="36">
        <v>25.7</v>
      </c>
      <c r="D10" s="32">
        <v>2067</v>
      </c>
      <c r="E10" s="36">
        <v>24.2</v>
      </c>
      <c r="F10" s="32">
        <v>1547</v>
      </c>
      <c r="G10" s="36">
        <v>1.2</v>
      </c>
      <c r="H10" s="32">
        <v>1552</v>
      </c>
      <c r="I10" s="36">
        <v>5.2</v>
      </c>
      <c r="J10" s="590">
        <f t="shared" si="0"/>
        <v>3619</v>
      </c>
      <c r="K10" s="497">
        <v>2.7</v>
      </c>
      <c r="L10" s="590">
        <f t="shared" si="1"/>
        <v>3619</v>
      </c>
      <c r="M10" s="497">
        <v>9.5</v>
      </c>
      <c r="N10" s="16">
        <v>2013</v>
      </c>
    </row>
    <row r="11" spans="1:15" ht="24.95" customHeight="1" thickBot="1">
      <c r="A11" s="592">
        <v>2014</v>
      </c>
      <c r="B11" s="593">
        <v>2076</v>
      </c>
      <c r="C11" s="594">
        <v>24.986760387078139</v>
      </c>
      <c r="D11" s="593">
        <v>2047</v>
      </c>
      <c r="E11" s="594">
        <v>23.169475602440322</v>
      </c>
      <c r="F11" s="593">
        <v>1598</v>
      </c>
      <c r="G11" s="594">
        <v>1.1382123086478495</v>
      </c>
      <c r="H11" s="593">
        <v>1627</v>
      </c>
      <c r="I11" s="594">
        <v>5.105883534388612</v>
      </c>
      <c r="J11" s="595">
        <f t="shared" si="0"/>
        <v>3674</v>
      </c>
      <c r="K11" s="596">
        <v>2.4706800086077036</v>
      </c>
      <c r="L11" s="595">
        <f t="shared" si="1"/>
        <v>3674</v>
      </c>
      <c r="M11" s="596">
        <v>9.0270048476539362</v>
      </c>
      <c r="N11" s="597">
        <v>2014</v>
      </c>
    </row>
    <row r="12" spans="1:15" ht="24.95" customHeight="1" thickBot="1">
      <c r="A12" s="18">
        <v>2015</v>
      </c>
      <c r="B12" s="32">
        <v>2069</v>
      </c>
      <c r="C12" s="36">
        <v>24.085585900211871</v>
      </c>
      <c r="D12" s="32">
        <v>1993</v>
      </c>
      <c r="E12" s="36">
        <v>22.249014814070577</v>
      </c>
      <c r="F12" s="32">
        <v>1655</v>
      </c>
      <c r="G12" s="36">
        <v>1.0461527180691119</v>
      </c>
      <c r="H12" s="32">
        <v>1731</v>
      </c>
      <c r="I12" s="36">
        <v>5.0476920878665847</v>
      </c>
      <c r="J12" s="590">
        <f t="shared" si="0"/>
        <v>3724</v>
      </c>
      <c r="K12" s="497">
        <v>2.232762491988376</v>
      </c>
      <c r="L12" s="590">
        <f t="shared" si="1"/>
        <v>3724</v>
      </c>
      <c r="M12" s="497">
        <v>8.4345650696175323</v>
      </c>
      <c r="N12" s="16">
        <v>2015</v>
      </c>
    </row>
    <row r="13" spans="1:15" ht="24.95" customHeight="1" thickBot="1">
      <c r="A13" s="592">
        <v>2016</v>
      </c>
      <c r="B13" s="593">
        <v>2097</v>
      </c>
      <c r="C13" s="594">
        <v>23.760155001869542</v>
      </c>
      <c r="D13" s="593">
        <v>2042</v>
      </c>
      <c r="E13" s="594">
        <v>21.646031207598373</v>
      </c>
      <c r="F13" s="593">
        <v>1733</v>
      </c>
      <c r="G13" s="594">
        <v>1.01665066111625</v>
      </c>
      <c r="H13" s="593">
        <v>1788</v>
      </c>
      <c r="I13" s="594">
        <v>4.7997809495942469</v>
      </c>
      <c r="J13" s="595">
        <f t="shared" ref="J13:J18" si="2">F13+B13</f>
        <v>3830</v>
      </c>
      <c r="K13" s="596">
        <v>2.1362348943651366</v>
      </c>
      <c r="L13" s="595">
        <f t="shared" si="1"/>
        <v>3830</v>
      </c>
      <c r="M13" s="596">
        <v>8.2038671701799064</v>
      </c>
      <c r="N13" s="597">
        <v>2016</v>
      </c>
    </row>
    <row r="14" spans="1:15" ht="24.95" customHeight="1" thickBot="1">
      <c r="A14" s="18">
        <v>2017</v>
      </c>
      <c r="B14" s="32">
        <v>2181</v>
      </c>
      <c r="C14" s="36">
        <v>23.949399892386925</v>
      </c>
      <c r="D14" s="32">
        <v>2090</v>
      </c>
      <c r="E14" s="36">
        <v>21.377575026082688</v>
      </c>
      <c r="F14" s="32">
        <v>1537</v>
      </c>
      <c r="G14" s="36">
        <v>0.9</v>
      </c>
      <c r="H14" s="32">
        <v>1628</v>
      </c>
      <c r="I14" s="36">
        <v>4.1044776119402986</v>
      </c>
      <c r="J14" s="590">
        <f t="shared" si="2"/>
        <v>3718</v>
      </c>
      <c r="K14" s="497">
        <v>2.0012487620031862</v>
      </c>
      <c r="L14" s="590">
        <f t="shared" si="1"/>
        <v>3718</v>
      </c>
      <c r="M14" s="497">
        <v>7.5201352734392382</v>
      </c>
      <c r="N14" s="16">
        <v>2017</v>
      </c>
    </row>
    <row r="15" spans="1:15" ht="24.95" customHeight="1" thickBot="1">
      <c r="A15" s="592">
        <v>2018</v>
      </c>
      <c r="B15" s="593">
        <v>2184</v>
      </c>
      <c r="C15" s="594">
        <v>23.318385650224201</v>
      </c>
      <c r="D15" s="593">
        <v>2019</v>
      </c>
      <c r="E15" s="594">
        <v>20.091751335967121</v>
      </c>
      <c r="F15" s="593">
        <v>1574</v>
      </c>
      <c r="G15" s="594">
        <v>0.8951344834351781</v>
      </c>
      <c r="H15" s="593">
        <v>1739</v>
      </c>
      <c r="I15" s="594">
        <v>4.1168825327231797</v>
      </c>
      <c r="J15" s="595">
        <f t="shared" si="2"/>
        <v>3758</v>
      </c>
      <c r="K15" s="596">
        <v>2</v>
      </c>
      <c r="L15" s="595">
        <f>H15+D15</f>
        <v>3758</v>
      </c>
      <c r="M15" s="596">
        <v>7.2</v>
      </c>
      <c r="N15" s="597">
        <v>2018</v>
      </c>
    </row>
    <row r="16" spans="1:15" ht="24.95" customHeight="1" thickBot="1">
      <c r="A16" s="18">
        <v>2019</v>
      </c>
      <c r="B16" s="32">
        <v>2077</v>
      </c>
      <c r="C16" s="36">
        <f>+B16/96576*1000</f>
        <v>21.50637839628893</v>
      </c>
      <c r="D16" s="32">
        <v>1972</v>
      </c>
      <c r="E16" s="36">
        <f>+D16/103513*1000</f>
        <v>19.050747249137789</v>
      </c>
      <c r="F16" s="32">
        <v>1544</v>
      </c>
      <c r="G16" s="36">
        <f>1544/1764547*1000</f>
        <v>0.87501211359062692</v>
      </c>
      <c r="H16" s="32">
        <v>1649</v>
      </c>
      <c r="I16" s="36">
        <f>1649/436131*1000</f>
        <v>3.7809740651318067</v>
      </c>
      <c r="J16" s="590">
        <f t="shared" si="2"/>
        <v>3621</v>
      </c>
      <c r="K16" s="497">
        <f>+J16/1861123*1000</f>
        <v>1.9455995116926716</v>
      </c>
      <c r="L16" s="590">
        <f>H16+D16</f>
        <v>3621</v>
      </c>
      <c r="M16" s="497">
        <f>+L16/539644*1000</f>
        <v>6.7099791714537735</v>
      </c>
      <c r="N16" s="16">
        <v>2019</v>
      </c>
    </row>
    <row r="17" spans="1:14" ht="24.95" customHeight="1" thickBot="1">
      <c r="A17" s="592">
        <v>2020</v>
      </c>
      <c r="B17" s="593">
        <v>2694</v>
      </c>
      <c r="C17" s="594">
        <v>27.1</v>
      </c>
      <c r="D17" s="593">
        <v>2574</v>
      </c>
      <c r="E17" s="594">
        <v>24</v>
      </c>
      <c r="F17" s="593">
        <v>1553</v>
      </c>
      <c r="G17" s="594">
        <v>0.9</v>
      </c>
      <c r="H17" s="593">
        <v>1673</v>
      </c>
      <c r="I17" s="594">
        <v>2.4</v>
      </c>
      <c r="J17" s="595">
        <f t="shared" si="2"/>
        <v>4247</v>
      </c>
      <c r="K17" s="596">
        <v>2.4</v>
      </c>
      <c r="L17" s="595">
        <f>H17+D17</f>
        <v>4247</v>
      </c>
      <c r="M17" s="596">
        <v>7.2</v>
      </c>
      <c r="N17" s="597">
        <v>2020</v>
      </c>
    </row>
    <row r="18" spans="1:14" ht="24.95" customHeight="1">
      <c r="A18" s="492">
        <v>2021</v>
      </c>
      <c r="B18" s="493">
        <v>2429</v>
      </c>
      <c r="C18" s="494">
        <v>24</v>
      </c>
      <c r="D18" s="493">
        <v>2276</v>
      </c>
      <c r="E18" s="494">
        <v>21</v>
      </c>
      <c r="F18" s="493">
        <v>1961</v>
      </c>
      <c r="G18" s="494">
        <v>1.2</v>
      </c>
      <c r="H18" s="493">
        <v>2114</v>
      </c>
      <c r="I18" s="494">
        <v>4.5999999999999996</v>
      </c>
      <c r="J18" s="591">
        <f t="shared" si="2"/>
        <v>4390</v>
      </c>
      <c r="K18" s="498">
        <v>2.5</v>
      </c>
      <c r="L18" s="591">
        <f>H18+D18</f>
        <v>4390</v>
      </c>
      <c r="M18" s="498">
        <v>7.3</v>
      </c>
      <c r="N18" s="495">
        <v>2021</v>
      </c>
    </row>
  </sheetData>
  <mergeCells count="15">
    <mergeCell ref="F7:G7"/>
    <mergeCell ref="H7:I7"/>
    <mergeCell ref="N6:N8"/>
    <mergeCell ref="A6:A8"/>
    <mergeCell ref="A1:N1"/>
    <mergeCell ref="A2:N2"/>
    <mergeCell ref="A3:N3"/>
    <mergeCell ref="A4:N4"/>
    <mergeCell ref="J7:K7"/>
    <mergeCell ref="L7:M7"/>
    <mergeCell ref="B6:E6"/>
    <mergeCell ref="F6:I6"/>
    <mergeCell ref="J6:M6"/>
    <mergeCell ref="B7:C7"/>
    <mergeCell ref="D7:E7"/>
  </mergeCells>
  <printOptions horizontalCentered="1" verticalCentered="1"/>
  <pageMargins left="0" right="0" top="0" bottom="0" header="0" footer="0"/>
  <pageSetup paperSize="9" scale="84" orientation="landscape" r:id="rId1"/>
  <headerFooter alignWithMargins="0"/>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34"/>
  <sheetViews>
    <sheetView rightToLeft="1" view="pageBreakPreview" zoomScaleNormal="100" zoomScaleSheetLayoutView="100" workbookViewId="0">
      <selection activeCell="T16" sqref="T16"/>
    </sheetView>
  </sheetViews>
  <sheetFormatPr defaultColWidth="9.140625" defaultRowHeight="12.75"/>
  <cols>
    <col min="1" max="16384" width="9.140625" style="1"/>
  </cols>
  <sheetData>
    <row r="1" ht="26.25" customHeight="1"/>
    <row r="34" spans="1:13" ht="15.75">
      <c r="A34" s="1070" t="s">
        <v>54</v>
      </c>
      <c r="B34" s="1070"/>
      <c r="C34" s="1070"/>
      <c r="D34" s="1070"/>
      <c r="E34" s="1070"/>
      <c r="F34" s="1070"/>
      <c r="G34" s="1070"/>
      <c r="H34" s="1070"/>
      <c r="I34" s="1070"/>
      <c r="J34" s="1070"/>
      <c r="K34" s="1070"/>
      <c r="L34" s="1070"/>
      <c r="M34" s="1070"/>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rightToLeft="1" view="pageBreakPreview" topLeftCell="A4" zoomScaleNormal="100" zoomScaleSheetLayoutView="100" workbookViewId="0">
      <selection activeCell="C34" sqref="C34"/>
    </sheetView>
  </sheetViews>
  <sheetFormatPr defaultColWidth="9.140625" defaultRowHeight="12.75"/>
  <cols>
    <col min="1" max="1" width="2.7109375" style="1" customWidth="1"/>
    <col min="2" max="3" width="43.7109375" style="1" customWidth="1"/>
    <col min="4" max="4" width="2.7109375" style="1" customWidth="1"/>
    <col min="5" max="5" width="43.7109375" style="1" customWidth="1"/>
    <col min="6" max="16384" width="9.140625" style="1"/>
  </cols>
  <sheetData>
    <row r="1" spans="1:5" ht="33.75" customHeight="1">
      <c r="A1" s="88"/>
      <c r="B1" s="88"/>
      <c r="C1" s="757"/>
      <c r="D1" s="758"/>
      <c r="E1" s="642"/>
    </row>
    <row r="2" spans="1:5" ht="26.25" customHeight="1">
      <c r="A2" s="88"/>
      <c r="B2" s="759" t="s">
        <v>1017</v>
      </c>
      <c r="C2" s="760" t="s">
        <v>1018</v>
      </c>
      <c r="D2" s="88"/>
      <c r="E2" s="640"/>
    </row>
    <row r="3" spans="1:5" ht="96.75" customHeight="1">
      <c r="A3" s="88"/>
      <c r="B3" s="761"/>
      <c r="C3" s="762"/>
      <c r="D3" s="88"/>
      <c r="E3" s="638"/>
    </row>
    <row r="4" spans="1:5" ht="96.75" customHeight="1">
      <c r="A4" s="88"/>
      <c r="B4" s="761"/>
      <c r="C4" s="762"/>
      <c r="D4" s="88"/>
      <c r="E4" s="638"/>
    </row>
    <row r="5" spans="1:5" ht="64.5" customHeight="1">
      <c r="A5" s="88"/>
      <c r="B5" s="761"/>
      <c r="C5" s="762"/>
      <c r="D5" s="88"/>
      <c r="E5" s="638"/>
    </row>
    <row r="6" spans="1:5" ht="39">
      <c r="A6" s="88"/>
      <c r="B6" s="1012" t="s">
        <v>1013</v>
      </c>
      <c r="C6" s="1012"/>
      <c r="D6" s="88"/>
      <c r="E6" s="638"/>
    </row>
    <row r="7" spans="1:5" ht="39">
      <c r="A7" s="88"/>
      <c r="B7" s="1012" t="s">
        <v>1014</v>
      </c>
      <c r="C7" s="1012"/>
      <c r="D7" s="88"/>
      <c r="E7" s="638"/>
    </row>
    <row r="8" spans="1:5" ht="23.25">
      <c r="A8" s="88"/>
      <c r="B8" s="1013" t="s">
        <v>1015</v>
      </c>
      <c r="C8" s="1013"/>
      <c r="D8" s="88"/>
      <c r="E8" s="635"/>
    </row>
    <row r="9" spans="1:5" ht="18">
      <c r="A9" s="88"/>
      <c r="B9" s="1014" t="s">
        <v>1016</v>
      </c>
      <c r="C9" s="1014"/>
      <c r="D9" s="88"/>
      <c r="E9" s="633"/>
    </row>
    <row r="10" spans="1:5" ht="20.25">
      <c r="A10" s="88"/>
      <c r="B10" s="1015">
        <v>2021</v>
      </c>
      <c r="C10" s="1015"/>
      <c r="D10" s="88"/>
      <c r="E10" s="630"/>
    </row>
    <row r="11" spans="1:5" ht="26.25">
      <c r="A11" s="88"/>
      <c r="B11" s="763"/>
      <c r="C11" s="764"/>
      <c r="D11" s="88"/>
      <c r="E11" s="627"/>
    </row>
    <row r="12" spans="1:5" ht="26.25">
      <c r="A12" s="88"/>
      <c r="B12" s="765"/>
      <c r="C12" s="766"/>
      <c r="D12" s="88"/>
      <c r="E12" s="625"/>
    </row>
    <row r="13" spans="1:5">
      <c r="A13" s="88"/>
      <c r="B13" s="88"/>
      <c r="C13" s="88"/>
      <c r="D13" s="88"/>
    </row>
    <row r="14" spans="1:5">
      <c r="A14" s="88"/>
      <c r="B14" s="88"/>
      <c r="C14" s="88"/>
      <c r="D14" s="88"/>
    </row>
    <row r="15" spans="1:5">
      <c r="A15" s="88"/>
      <c r="B15" s="88"/>
      <c r="C15" s="88"/>
      <c r="D15" s="88"/>
    </row>
    <row r="16" spans="1:5">
      <c r="A16" s="88"/>
      <c r="B16" s="88"/>
      <c r="C16" s="88"/>
      <c r="D16" s="88"/>
    </row>
    <row r="17" spans="1:4">
      <c r="A17" s="88"/>
      <c r="B17" s="88"/>
      <c r="C17" s="88"/>
      <c r="D17" s="88"/>
    </row>
    <row r="18" spans="1:4">
      <c r="A18" s="88"/>
      <c r="B18" s="88"/>
      <c r="C18" s="88"/>
      <c r="D18" s="88"/>
    </row>
    <row r="19" spans="1:4">
      <c r="A19" s="88"/>
      <c r="B19" s="88"/>
      <c r="C19" s="88"/>
      <c r="D19" s="88"/>
    </row>
    <row r="20" spans="1:4">
      <c r="A20" s="88"/>
      <c r="B20" s="88"/>
      <c r="C20" s="88"/>
      <c r="D20" s="88"/>
    </row>
    <row r="21" spans="1:4">
      <c r="A21" s="88"/>
      <c r="B21" s="88"/>
      <c r="C21" s="88"/>
      <c r="D21" s="88"/>
    </row>
    <row r="22" spans="1:4">
      <c r="A22" s="88"/>
      <c r="B22" s="88"/>
      <c r="C22" s="88"/>
      <c r="D22" s="88"/>
    </row>
    <row r="23" spans="1:4">
      <c r="A23" s="88"/>
      <c r="B23" s="88"/>
      <c r="C23" s="88"/>
      <c r="D23" s="88"/>
    </row>
    <row r="24" spans="1:4">
      <c r="A24" s="88"/>
      <c r="B24" s="88"/>
      <c r="C24" s="88"/>
      <c r="D24" s="88"/>
    </row>
    <row r="25" spans="1:4" ht="23.25">
      <c r="A25" s="88"/>
      <c r="B25" s="767" t="s">
        <v>1320</v>
      </c>
      <c r="C25" s="768" t="s">
        <v>1321</v>
      </c>
      <c r="D25" s="88"/>
    </row>
    <row r="26" spans="1:4" ht="20.25">
      <c r="A26" s="88"/>
      <c r="B26" s="769" t="s">
        <v>1324</v>
      </c>
      <c r="C26" s="770" t="s">
        <v>1325</v>
      </c>
      <c r="D26" s="88"/>
    </row>
    <row r="27" spans="1:4">
      <c r="A27" s="88"/>
      <c r="B27" s="88"/>
      <c r="C27" s="88"/>
      <c r="D27" s="88"/>
    </row>
  </sheetData>
  <mergeCells count="5">
    <mergeCell ref="B6:C6"/>
    <mergeCell ref="B7:C7"/>
    <mergeCell ref="B8:C8"/>
    <mergeCell ref="B9:C9"/>
    <mergeCell ref="B10:C10"/>
  </mergeCells>
  <printOptions horizontalCentered="1"/>
  <pageMargins left="0.35433070866141736" right="0.35433070866141736" top="0.98425196850393704" bottom="0.98425196850393704" header="0.51181102362204722" footer="0.51181102362204722"/>
  <pageSetup paperSize="9" scale="9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31"/>
  <sheetViews>
    <sheetView rightToLeft="1" view="pageBreakPreview" zoomScaleNormal="100" zoomScaleSheetLayoutView="100" workbookViewId="0">
      <selection activeCell="S24" sqref="S24"/>
    </sheetView>
  </sheetViews>
  <sheetFormatPr defaultColWidth="9.140625" defaultRowHeight="15"/>
  <cols>
    <col min="1" max="1" width="10.28515625" style="542" customWidth="1"/>
    <col min="2" max="2" width="7.5703125" style="542" bestFit="1" customWidth="1"/>
    <col min="3" max="3" width="6.140625" style="542" customWidth="1"/>
    <col min="4" max="4" width="6.85546875" style="542" customWidth="1"/>
    <col min="5" max="5" width="7.140625" style="542" customWidth="1"/>
    <col min="6" max="6" width="6.85546875" style="542" customWidth="1"/>
    <col min="7" max="7" width="6.85546875" style="542" bestFit="1" customWidth="1"/>
    <col min="8" max="8" width="6.85546875" style="542" customWidth="1"/>
    <col min="9" max="9" width="6.140625" style="542" customWidth="1"/>
    <col min="10" max="10" width="6.85546875" style="542" customWidth="1"/>
    <col min="11" max="11" width="6.140625" style="542" customWidth="1"/>
    <col min="12" max="12" width="6.85546875" style="542" customWidth="1"/>
    <col min="13" max="13" width="6.140625" style="542" customWidth="1"/>
    <col min="14" max="14" width="6.85546875" style="542" customWidth="1"/>
    <col min="15" max="15" width="6.140625" style="542" customWidth="1"/>
    <col min="16" max="16" width="6.85546875" style="542" customWidth="1"/>
    <col min="17" max="17" width="6.140625" style="542" customWidth="1"/>
    <col min="18" max="18" width="6.85546875" style="542" customWidth="1"/>
    <col min="19" max="19" width="6.140625" style="542" customWidth="1"/>
    <col min="20" max="20" width="6.85546875" style="542" customWidth="1"/>
    <col min="21" max="23" width="7.28515625" style="542" customWidth="1"/>
    <col min="24" max="24" width="9.7109375" style="542" bestFit="1" customWidth="1"/>
    <col min="25" max="25" width="14.28515625" style="542" customWidth="1"/>
    <col min="26" max="16384" width="9.140625" style="542"/>
  </cols>
  <sheetData>
    <row r="1" spans="1:25" s="539" customFormat="1" ht="22.5" customHeight="1">
      <c r="A1" s="1098" t="s">
        <v>656</v>
      </c>
      <c r="B1" s="1098"/>
      <c r="C1" s="1098"/>
      <c r="D1" s="1098"/>
      <c r="E1" s="1098"/>
      <c r="F1" s="1098"/>
      <c r="G1" s="1098"/>
      <c r="H1" s="1098"/>
      <c r="I1" s="1098"/>
      <c r="J1" s="1098"/>
      <c r="K1" s="1098"/>
      <c r="L1" s="1098"/>
      <c r="M1" s="1098"/>
      <c r="N1" s="1098"/>
      <c r="O1" s="1098"/>
      <c r="P1" s="1098"/>
      <c r="Q1" s="1098"/>
      <c r="R1" s="1098"/>
      <c r="S1" s="1098"/>
      <c r="T1" s="1098"/>
      <c r="U1" s="1098"/>
      <c r="V1" s="1098"/>
      <c r="W1" s="1098"/>
      <c r="X1" s="1098"/>
      <c r="Y1" s="1098"/>
    </row>
    <row r="2" spans="1:25" s="539" customFormat="1" ht="18">
      <c r="A2" s="1099" t="s">
        <v>657</v>
      </c>
      <c r="B2" s="1099"/>
      <c r="C2" s="1099"/>
      <c r="D2" s="1099"/>
      <c r="E2" s="1099"/>
      <c r="F2" s="1099"/>
      <c r="G2" s="1099"/>
      <c r="H2" s="1099"/>
      <c r="I2" s="1099"/>
      <c r="J2" s="1099"/>
      <c r="K2" s="1099"/>
      <c r="L2" s="1099"/>
      <c r="M2" s="1099"/>
      <c r="N2" s="1099"/>
      <c r="O2" s="1099"/>
      <c r="P2" s="1099"/>
      <c r="Q2" s="1099"/>
      <c r="R2" s="1099"/>
      <c r="S2" s="1099"/>
      <c r="T2" s="1099"/>
      <c r="U2" s="1099"/>
      <c r="V2" s="1099"/>
      <c r="W2" s="1099"/>
      <c r="X2" s="1099"/>
      <c r="Y2" s="1099"/>
    </row>
    <row r="3" spans="1:25" s="538" customFormat="1" ht="15.75">
      <c r="A3" s="1100">
        <v>2021</v>
      </c>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row>
    <row r="4" spans="1:25" s="538" customFormat="1" ht="15.75">
      <c r="A4" s="574"/>
      <c r="B4" s="574"/>
      <c r="C4" s="574"/>
      <c r="D4" s="574"/>
      <c r="E4" s="574"/>
      <c r="F4" s="574"/>
      <c r="G4" s="574"/>
      <c r="H4" s="574"/>
      <c r="I4" s="574"/>
      <c r="J4" s="574"/>
      <c r="K4" s="574"/>
      <c r="L4" s="574"/>
      <c r="M4" s="574"/>
      <c r="N4" s="574"/>
      <c r="O4" s="574"/>
      <c r="P4" s="574"/>
      <c r="Q4" s="574"/>
      <c r="R4" s="574"/>
      <c r="S4" s="574"/>
      <c r="T4" s="574"/>
      <c r="U4" s="574"/>
      <c r="V4" s="574"/>
      <c r="W4" s="574"/>
      <c r="X4" s="574"/>
      <c r="Y4" s="574"/>
    </row>
    <row r="5" spans="1:25" s="541" customFormat="1" ht="15.75">
      <c r="A5" s="540" t="s">
        <v>589</v>
      </c>
      <c r="B5" s="540"/>
      <c r="C5" s="540"/>
      <c r="D5" s="540"/>
      <c r="E5" s="540"/>
      <c r="F5" s="540"/>
      <c r="G5" s="540"/>
      <c r="H5" s="540"/>
      <c r="I5" s="540"/>
      <c r="J5" s="540"/>
      <c r="K5" s="540"/>
      <c r="L5" s="540"/>
      <c r="M5" s="540"/>
      <c r="O5" s="545"/>
      <c r="P5" s="545"/>
      <c r="Q5" s="545"/>
      <c r="R5" s="545"/>
      <c r="S5" s="545"/>
      <c r="T5" s="545"/>
      <c r="U5" s="546"/>
      <c r="V5" s="546"/>
      <c r="W5" s="546"/>
      <c r="X5" s="546"/>
      <c r="Y5" s="575" t="s">
        <v>588</v>
      </c>
    </row>
    <row r="6" spans="1:25" ht="25.9" customHeight="1">
      <c r="A6" s="1101" t="s">
        <v>566</v>
      </c>
      <c r="B6" s="1102"/>
      <c r="C6" s="1107" t="s">
        <v>587</v>
      </c>
      <c r="D6" s="1107"/>
      <c r="E6" s="1107"/>
      <c r="F6" s="1107"/>
      <c r="G6" s="1107"/>
      <c r="H6" s="1107"/>
      <c r="I6" s="1107"/>
      <c r="J6" s="1107"/>
      <c r="K6" s="1107"/>
      <c r="L6" s="1107"/>
      <c r="M6" s="1107"/>
      <c r="N6" s="1108" t="s">
        <v>672</v>
      </c>
      <c r="O6" s="1108"/>
      <c r="P6" s="1108"/>
      <c r="Q6" s="1108"/>
      <c r="R6" s="1108"/>
      <c r="S6" s="1108"/>
      <c r="T6" s="1108"/>
      <c r="U6" s="1108"/>
      <c r="V6" s="1108"/>
      <c r="W6" s="1108"/>
      <c r="X6" s="1109" t="s">
        <v>671</v>
      </c>
      <c r="Y6" s="1110"/>
    </row>
    <row r="7" spans="1:25" s="543" customFormat="1" ht="34.9" customHeight="1">
      <c r="A7" s="1103"/>
      <c r="B7" s="1104"/>
      <c r="C7" s="1115" t="s">
        <v>663</v>
      </c>
      <c r="D7" s="1094"/>
      <c r="E7" s="1094" t="s">
        <v>664</v>
      </c>
      <c r="F7" s="1094"/>
      <c r="G7" s="1094" t="s">
        <v>665</v>
      </c>
      <c r="H7" s="1094"/>
      <c r="I7" s="1094" t="s">
        <v>1011</v>
      </c>
      <c r="J7" s="1094"/>
      <c r="K7" s="1094" t="s">
        <v>666</v>
      </c>
      <c r="L7" s="1094"/>
      <c r="M7" s="1094" t="s">
        <v>667</v>
      </c>
      <c r="N7" s="1094"/>
      <c r="O7" s="1094" t="s">
        <v>668</v>
      </c>
      <c r="P7" s="1094"/>
      <c r="Q7" s="1094" t="s">
        <v>669</v>
      </c>
      <c r="R7" s="1094"/>
      <c r="S7" s="1094" t="s">
        <v>670</v>
      </c>
      <c r="T7" s="1094"/>
      <c r="U7" s="1094" t="s">
        <v>450</v>
      </c>
      <c r="V7" s="1094"/>
      <c r="W7" s="1095"/>
      <c r="X7" s="1111"/>
      <c r="Y7" s="1112"/>
    </row>
    <row r="8" spans="1:25" s="543" customFormat="1" ht="25.5">
      <c r="A8" s="1103"/>
      <c r="B8" s="1104"/>
      <c r="C8" s="571" t="s">
        <v>661</v>
      </c>
      <c r="D8" s="571" t="s">
        <v>662</v>
      </c>
      <c r="E8" s="571" t="s">
        <v>661</v>
      </c>
      <c r="F8" s="571" t="s">
        <v>662</v>
      </c>
      <c r="G8" s="571" t="s">
        <v>661</v>
      </c>
      <c r="H8" s="571" t="s">
        <v>662</v>
      </c>
      <c r="I8" s="571" t="s">
        <v>661</v>
      </c>
      <c r="J8" s="571" t="s">
        <v>662</v>
      </c>
      <c r="K8" s="571" t="s">
        <v>661</v>
      </c>
      <c r="L8" s="571" t="s">
        <v>662</v>
      </c>
      <c r="M8" s="571" t="s">
        <v>661</v>
      </c>
      <c r="N8" s="571" t="s">
        <v>662</v>
      </c>
      <c r="O8" s="571" t="s">
        <v>661</v>
      </c>
      <c r="P8" s="571" t="s">
        <v>662</v>
      </c>
      <c r="Q8" s="571" t="s">
        <v>661</v>
      </c>
      <c r="R8" s="571" t="s">
        <v>662</v>
      </c>
      <c r="S8" s="571" t="s">
        <v>661</v>
      </c>
      <c r="T8" s="571" t="s">
        <v>662</v>
      </c>
      <c r="U8" s="571" t="s">
        <v>661</v>
      </c>
      <c r="V8" s="571" t="s">
        <v>662</v>
      </c>
      <c r="W8" s="571" t="s">
        <v>16</v>
      </c>
      <c r="X8" s="1111"/>
      <c r="Y8" s="1112"/>
    </row>
    <row r="9" spans="1:25" ht="22.5">
      <c r="A9" s="1105"/>
      <c r="B9" s="1106"/>
      <c r="C9" s="572" t="s">
        <v>582</v>
      </c>
      <c r="D9" s="572" t="s">
        <v>584</v>
      </c>
      <c r="E9" s="572" t="s">
        <v>582</v>
      </c>
      <c r="F9" s="572" t="s">
        <v>584</v>
      </c>
      <c r="G9" s="572" t="s">
        <v>582</v>
      </c>
      <c r="H9" s="572" t="s">
        <v>584</v>
      </c>
      <c r="I9" s="572" t="s">
        <v>582</v>
      </c>
      <c r="J9" s="572" t="s">
        <v>584</v>
      </c>
      <c r="K9" s="572" t="s">
        <v>582</v>
      </c>
      <c r="L9" s="572" t="s">
        <v>584</v>
      </c>
      <c r="M9" s="572" t="s">
        <v>582</v>
      </c>
      <c r="N9" s="572" t="s">
        <v>584</v>
      </c>
      <c r="O9" s="572" t="s">
        <v>582</v>
      </c>
      <c r="P9" s="572" t="s">
        <v>584</v>
      </c>
      <c r="Q9" s="572" t="s">
        <v>582</v>
      </c>
      <c r="R9" s="572" t="s">
        <v>584</v>
      </c>
      <c r="S9" s="572" t="s">
        <v>582</v>
      </c>
      <c r="T9" s="572" t="s">
        <v>584</v>
      </c>
      <c r="U9" s="572" t="s">
        <v>582</v>
      </c>
      <c r="V9" s="572" t="s">
        <v>584</v>
      </c>
      <c r="W9" s="572" t="s">
        <v>55</v>
      </c>
      <c r="X9" s="1113"/>
      <c r="Y9" s="1114"/>
    </row>
    <row r="10" spans="1:25" ht="21.6" customHeight="1" thickBot="1">
      <c r="A10" s="1096" t="s">
        <v>431</v>
      </c>
      <c r="B10" s="619" t="s">
        <v>581</v>
      </c>
      <c r="C10" s="605">
        <v>236</v>
      </c>
      <c r="D10" s="605">
        <v>40</v>
      </c>
      <c r="E10" s="605">
        <v>205</v>
      </c>
      <c r="F10" s="605">
        <v>22</v>
      </c>
      <c r="G10" s="605">
        <v>24</v>
      </c>
      <c r="H10" s="605">
        <v>10</v>
      </c>
      <c r="I10" s="605">
        <v>44</v>
      </c>
      <c r="J10" s="605">
        <v>9</v>
      </c>
      <c r="K10" s="605">
        <v>17</v>
      </c>
      <c r="L10" s="605">
        <v>3</v>
      </c>
      <c r="M10" s="605">
        <v>2</v>
      </c>
      <c r="N10" s="605" t="s">
        <v>546</v>
      </c>
      <c r="O10" s="605">
        <v>45</v>
      </c>
      <c r="P10" s="605">
        <v>4</v>
      </c>
      <c r="Q10" s="605">
        <v>13</v>
      </c>
      <c r="R10" s="605" t="s">
        <v>546</v>
      </c>
      <c r="S10" s="605">
        <v>0</v>
      </c>
      <c r="T10" s="605">
        <v>1</v>
      </c>
      <c r="U10" s="899">
        <f>C10+E10+G10+I10+K10+M10+O10+Q10+S10</f>
        <v>586</v>
      </c>
      <c r="V10" s="899">
        <f>D10+F10+H10+J10+L10+N10+P10+R10+T10</f>
        <v>89</v>
      </c>
      <c r="W10" s="899">
        <f>V10+U10</f>
        <v>675</v>
      </c>
      <c r="X10" s="620" t="s">
        <v>582</v>
      </c>
      <c r="Y10" s="1097" t="s">
        <v>62</v>
      </c>
    </row>
    <row r="11" spans="1:25" ht="21.6" customHeight="1" thickBot="1">
      <c r="A11" s="1080"/>
      <c r="B11" s="550" t="s">
        <v>583</v>
      </c>
      <c r="C11" s="606">
        <v>15</v>
      </c>
      <c r="D11" s="606">
        <v>431</v>
      </c>
      <c r="E11" s="606">
        <v>6</v>
      </c>
      <c r="F11" s="606">
        <v>169</v>
      </c>
      <c r="G11" s="606" t="s">
        <v>546</v>
      </c>
      <c r="H11" s="606">
        <v>45</v>
      </c>
      <c r="I11" s="606">
        <v>1</v>
      </c>
      <c r="J11" s="606">
        <v>36</v>
      </c>
      <c r="K11" s="606">
        <v>1</v>
      </c>
      <c r="L11" s="606">
        <v>7</v>
      </c>
      <c r="M11" s="606" t="s">
        <v>546</v>
      </c>
      <c r="N11" s="606">
        <v>2</v>
      </c>
      <c r="O11" s="606">
        <v>2</v>
      </c>
      <c r="P11" s="606">
        <v>22</v>
      </c>
      <c r="Q11" s="606" t="s">
        <v>546</v>
      </c>
      <c r="R11" s="606">
        <v>4</v>
      </c>
      <c r="S11" s="606">
        <v>0</v>
      </c>
      <c r="T11" s="606">
        <v>3</v>
      </c>
      <c r="U11" s="900">
        <f t="shared" ref="U11:V27" si="0">C11+E11+G11+I11+K11+M11+O11+Q11+S11</f>
        <v>25</v>
      </c>
      <c r="V11" s="900">
        <f t="shared" si="0"/>
        <v>719</v>
      </c>
      <c r="W11" s="900">
        <f t="shared" ref="W11:W27" si="1">V11+U11</f>
        <v>744</v>
      </c>
      <c r="X11" s="560" t="s">
        <v>584</v>
      </c>
      <c r="Y11" s="1082"/>
    </row>
    <row r="12" spans="1:25" ht="21.6" customHeight="1" thickBot="1">
      <c r="A12" s="1092" t="s">
        <v>432</v>
      </c>
      <c r="B12" s="551" t="s">
        <v>581</v>
      </c>
      <c r="C12" s="607">
        <v>126</v>
      </c>
      <c r="D12" s="607">
        <v>17</v>
      </c>
      <c r="E12" s="607">
        <v>538</v>
      </c>
      <c r="F12" s="607">
        <v>46</v>
      </c>
      <c r="G12" s="607">
        <v>45</v>
      </c>
      <c r="H12" s="607">
        <v>9</v>
      </c>
      <c r="I12" s="607">
        <v>47</v>
      </c>
      <c r="J12" s="607">
        <v>9</v>
      </c>
      <c r="K12" s="607">
        <v>13</v>
      </c>
      <c r="L12" s="607">
        <v>2</v>
      </c>
      <c r="M12" s="607">
        <v>2</v>
      </c>
      <c r="N12" s="607" t="s">
        <v>546</v>
      </c>
      <c r="O12" s="607">
        <v>50</v>
      </c>
      <c r="P12" s="607">
        <v>5</v>
      </c>
      <c r="Q12" s="607">
        <v>90</v>
      </c>
      <c r="R12" s="607">
        <v>5</v>
      </c>
      <c r="S12" s="607">
        <v>0</v>
      </c>
      <c r="T12" s="607">
        <v>5</v>
      </c>
      <c r="U12" s="901">
        <f t="shared" si="0"/>
        <v>911</v>
      </c>
      <c r="V12" s="901">
        <f t="shared" si="0"/>
        <v>98</v>
      </c>
      <c r="W12" s="901">
        <f t="shared" si="1"/>
        <v>1009</v>
      </c>
      <c r="X12" s="561" t="s">
        <v>582</v>
      </c>
      <c r="Y12" s="1093" t="s">
        <v>61</v>
      </c>
    </row>
    <row r="13" spans="1:25" ht="21.6" customHeight="1" thickBot="1">
      <c r="A13" s="1092"/>
      <c r="B13" s="551" t="s">
        <v>583</v>
      </c>
      <c r="C13" s="607">
        <v>5</v>
      </c>
      <c r="D13" s="607">
        <v>165</v>
      </c>
      <c r="E13" s="607">
        <v>18</v>
      </c>
      <c r="F13" s="607">
        <v>344</v>
      </c>
      <c r="G13" s="607" t="s">
        <v>546</v>
      </c>
      <c r="H13" s="607">
        <v>46</v>
      </c>
      <c r="I13" s="607">
        <v>1</v>
      </c>
      <c r="J13" s="607">
        <v>32</v>
      </c>
      <c r="K13" s="607" t="s">
        <v>546</v>
      </c>
      <c r="L13" s="607">
        <v>6</v>
      </c>
      <c r="M13" s="607" t="s">
        <v>546</v>
      </c>
      <c r="N13" s="607">
        <v>1</v>
      </c>
      <c r="O13" s="607">
        <v>1</v>
      </c>
      <c r="P13" s="607">
        <v>19</v>
      </c>
      <c r="Q13" s="607">
        <v>1</v>
      </c>
      <c r="R13" s="607">
        <v>8</v>
      </c>
      <c r="S13" s="607">
        <v>0</v>
      </c>
      <c r="T13" s="607">
        <v>2</v>
      </c>
      <c r="U13" s="901">
        <f t="shared" si="0"/>
        <v>26</v>
      </c>
      <c r="V13" s="901">
        <f t="shared" si="0"/>
        <v>623</v>
      </c>
      <c r="W13" s="901">
        <f t="shared" si="1"/>
        <v>649</v>
      </c>
      <c r="X13" s="561" t="s">
        <v>584</v>
      </c>
      <c r="Y13" s="1093"/>
    </row>
    <row r="14" spans="1:25" ht="21.6" customHeight="1" thickBot="1">
      <c r="A14" s="1080" t="s">
        <v>433</v>
      </c>
      <c r="B14" s="550" t="s">
        <v>581</v>
      </c>
      <c r="C14" s="606">
        <v>18</v>
      </c>
      <c r="D14" s="606">
        <v>5</v>
      </c>
      <c r="E14" s="606">
        <v>36</v>
      </c>
      <c r="F14" s="606">
        <v>3</v>
      </c>
      <c r="G14" s="606">
        <v>51</v>
      </c>
      <c r="H14" s="606">
        <v>7</v>
      </c>
      <c r="I14" s="606">
        <v>5</v>
      </c>
      <c r="J14" s="606">
        <v>3</v>
      </c>
      <c r="K14" s="606">
        <v>4</v>
      </c>
      <c r="L14" s="606" t="s">
        <v>546</v>
      </c>
      <c r="M14" s="606" t="s">
        <v>546</v>
      </c>
      <c r="N14" s="606" t="s">
        <v>546</v>
      </c>
      <c r="O14" s="606">
        <v>13</v>
      </c>
      <c r="P14" s="606" t="s">
        <v>546</v>
      </c>
      <c r="Q14" s="606">
        <v>13</v>
      </c>
      <c r="R14" s="606">
        <v>1</v>
      </c>
      <c r="S14" s="606">
        <v>0</v>
      </c>
      <c r="T14" s="606" t="s">
        <v>546</v>
      </c>
      <c r="U14" s="900">
        <f t="shared" si="0"/>
        <v>140</v>
      </c>
      <c r="V14" s="900">
        <f t="shared" si="0"/>
        <v>19</v>
      </c>
      <c r="W14" s="900">
        <f t="shared" si="1"/>
        <v>159</v>
      </c>
      <c r="X14" s="560" t="s">
        <v>582</v>
      </c>
      <c r="Y14" s="1082" t="s">
        <v>60</v>
      </c>
    </row>
    <row r="15" spans="1:25" ht="21.6" customHeight="1" thickBot="1">
      <c r="A15" s="1080"/>
      <c r="B15" s="550" t="s">
        <v>583</v>
      </c>
      <c r="C15" s="606" t="s">
        <v>546</v>
      </c>
      <c r="D15" s="606">
        <v>39</v>
      </c>
      <c r="E15" s="606">
        <v>4</v>
      </c>
      <c r="F15" s="606">
        <v>52</v>
      </c>
      <c r="G15" s="606">
        <v>4</v>
      </c>
      <c r="H15" s="606">
        <v>70</v>
      </c>
      <c r="I15" s="606" t="s">
        <v>546</v>
      </c>
      <c r="J15" s="606">
        <v>10</v>
      </c>
      <c r="K15" s="606" t="s">
        <v>546</v>
      </c>
      <c r="L15" s="606">
        <v>2</v>
      </c>
      <c r="M15" s="606" t="s">
        <v>546</v>
      </c>
      <c r="N15" s="606" t="s">
        <v>546</v>
      </c>
      <c r="O15" s="606" t="s">
        <v>546</v>
      </c>
      <c r="P15" s="606">
        <v>4</v>
      </c>
      <c r="Q15" s="606" t="s">
        <v>546</v>
      </c>
      <c r="R15" s="606">
        <v>1</v>
      </c>
      <c r="S15" s="606">
        <v>0</v>
      </c>
      <c r="T15" s="606" t="s">
        <v>546</v>
      </c>
      <c r="U15" s="900">
        <f t="shared" si="0"/>
        <v>8</v>
      </c>
      <c r="V15" s="900">
        <f t="shared" si="0"/>
        <v>178</v>
      </c>
      <c r="W15" s="900">
        <f t="shared" si="1"/>
        <v>186</v>
      </c>
      <c r="X15" s="560" t="s">
        <v>584</v>
      </c>
      <c r="Y15" s="1082"/>
    </row>
    <row r="16" spans="1:25" ht="21.6" customHeight="1" thickBot="1">
      <c r="A16" s="1092" t="s">
        <v>434</v>
      </c>
      <c r="B16" s="551" t="s">
        <v>581</v>
      </c>
      <c r="C16" s="607">
        <v>25</v>
      </c>
      <c r="D16" s="607">
        <v>1</v>
      </c>
      <c r="E16" s="607">
        <v>66</v>
      </c>
      <c r="F16" s="607">
        <v>7</v>
      </c>
      <c r="G16" s="607">
        <v>4</v>
      </c>
      <c r="H16" s="607">
        <v>1</v>
      </c>
      <c r="I16" s="607">
        <v>37</v>
      </c>
      <c r="J16" s="607">
        <v>9</v>
      </c>
      <c r="K16" s="607">
        <v>8</v>
      </c>
      <c r="L16" s="607" t="s">
        <v>546</v>
      </c>
      <c r="M16" s="607" t="s">
        <v>546</v>
      </c>
      <c r="N16" s="607" t="s">
        <v>546</v>
      </c>
      <c r="O16" s="607">
        <v>17</v>
      </c>
      <c r="P16" s="607">
        <v>2</v>
      </c>
      <c r="Q16" s="607">
        <v>4</v>
      </c>
      <c r="R16" s="607" t="s">
        <v>546</v>
      </c>
      <c r="S16" s="607">
        <v>0</v>
      </c>
      <c r="T16" s="607" t="s">
        <v>546</v>
      </c>
      <c r="U16" s="901">
        <f t="shared" si="0"/>
        <v>161</v>
      </c>
      <c r="V16" s="901">
        <f t="shared" si="0"/>
        <v>20</v>
      </c>
      <c r="W16" s="901">
        <f t="shared" si="1"/>
        <v>181</v>
      </c>
      <c r="X16" s="561" t="s">
        <v>582</v>
      </c>
      <c r="Y16" s="1093" t="s">
        <v>59</v>
      </c>
    </row>
    <row r="17" spans="1:25" ht="21.6" customHeight="1" thickBot="1">
      <c r="A17" s="1092"/>
      <c r="B17" s="551" t="s">
        <v>583</v>
      </c>
      <c r="C17" s="607">
        <v>3</v>
      </c>
      <c r="D17" s="607">
        <v>20</v>
      </c>
      <c r="E17" s="607">
        <v>5</v>
      </c>
      <c r="F17" s="607">
        <v>39</v>
      </c>
      <c r="G17" s="607" t="s">
        <v>546</v>
      </c>
      <c r="H17" s="607">
        <v>8</v>
      </c>
      <c r="I17" s="607">
        <v>3</v>
      </c>
      <c r="J17" s="607">
        <v>41</v>
      </c>
      <c r="K17" s="607">
        <v>1</v>
      </c>
      <c r="L17" s="607">
        <v>6</v>
      </c>
      <c r="M17" s="607" t="s">
        <v>546</v>
      </c>
      <c r="N17" s="607" t="s">
        <v>546</v>
      </c>
      <c r="O17" s="607">
        <v>1</v>
      </c>
      <c r="P17" s="607">
        <v>10</v>
      </c>
      <c r="Q17" s="607" t="s">
        <v>546</v>
      </c>
      <c r="R17" s="607">
        <v>4</v>
      </c>
      <c r="S17" s="607">
        <v>0</v>
      </c>
      <c r="T17" s="607">
        <v>2</v>
      </c>
      <c r="U17" s="901">
        <f t="shared" si="0"/>
        <v>13</v>
      </c>
      <c r="V17" s="901">
        <f t="shared" si="0"/>
        <v>130</v>
      </c>
      <c r="W17" s="901">
        <f t="shared" si="1"/>
        <v>143</v>
      </c>
      <c r="X17" s="561" t="s">
        <v>584</v>
      </c>
      <c r="Y17" s="1093"/>
    </row>
    <row r="18" spans="1:25" ht="21.6" customHeight="1" thickBot="1">
      <c r="A18" s="1080" t="s">
        <v>435</v>
      </c>
      <c r="B18" s="550" t="s">
        <v>581</v>
      </c>
      <c r="C18" s="606">
        <v>11</v>
      </c>
      <c r="D18" s="606" t="s">
        <v>546</v>
      </c>
      <c r="E18" s="606">
        <v>15</v>
      </c>
      <c r="F18" s="606">
        <v>2</v>
      </c>
      <c r="G18" s="606">
        <v>5</v>
      </c>
      <c r="H18" s="606">
        <v>1</v>
      </c>
      <c r="I18" s="606">
        <v>4</v>
      </c>
      <c r="J18" s="606" t="s">
        <v>546</v>
      </c>
      <c r="K18" s="606">
        <v>22</v>
      </c>
      <c r="L18" s="606">
        <v>3</v>
      </c>
      <c r="M18" s="606" t="s">
        <v>546</v>
      </c>
      <c r="N18" s="606" t="s">
        <v>546</v>
      </c>
      <c r="O18" s="606">
        <v>10</v>
      </c>
      <c r="P18" s="606" t="s">
        <v>546</v>
      </c>
      <c r="Q18" s="606" t="s">
        <v>546</v>
      </c>
      <c r="R18" s="606" t="s">
        <v>546</v>
      </c>
      <c r="S18" s="606">
        <v>0</v>
      </c>
      <c r="T18" s="606">
        <v>1</v>
      </c>
      <c r="U18" s="900">
        <f t="shared" si="0"/>
        <v>67</v>
      </c>
      <c r="V18" s="900">
        <f t="shared" si="0"/>
        <v>7</v>
      </c>
      <c r="W18" s="900">
        <f t="shared" si="1"/>
        <v>74</v>
      </c>
      <c r="X18" s="560" t="s">
        <v>582</v>
      </c>
      <c r="Y18" s="1082" t="s">
        <v>58</v>
      </c>
    </row>
    <row r="19" spans="1:25" ht="21.6" customHeight="1" thickBot="1">
      <c r="A19" s="1080"/>
      <c r="B19" s="550" t="s">
        <v>583</v>
      </c>
      <c r="C19" s="606" t="s">
        <v>546</v>
      </c>
      <c r="D19" s="606">
        <v>11</v>
      </c>
      <c r="E19" s="606" t="s">
        <v>546</v>
      </c>
      <c r="F19" s="606">
        <v>7</v>
      </c>
      <c r="G19" s="606" t="s">
        <v>546</v>
      </c>
      <c r="H19" s="606">
        <v>3</v>
      </c>
      <c r="I19" s="606">
        <v>1</v>
      </c>
      <c r="J19" s="606" t="s">
        <v>546</v>
      </c>
      <c r="K19" s="606">
        <v>1</v>
      </c>
      <c r="L19" s="606">
        <v>17</v>
      </c>
      <c r="M19" s="606" t="s">
        <v>546</v>
      </c>
      <c r="N19" s="606" t="s">
        <v>546</v>
      </c>
      <c r="O19" s="606">
        <v>1</v>
      </c>
      <c r="P19" s="606">
        <v>1</v>
      </c>
      <c r="Q19" s="606" t="s">
        <v>546</v>
      </c>
      <c r="R19" s="606">
        <v>4</v>
      </c>
      <c r="S19" s="606">
        <v>0</v>
      </c>
      <c r="T19" s="606" t="s">
        <v>546</v>
      </c>
      <c r="U19" s="900">
        <f t="shared" si="0"/>
        <v>3</v>
      </c>
      <c r="V19" s="900">
        <f t="shared" si="0"/>
        <v>43</v>
      </c>
      <c r="W19" s="900">
        <f t="shared" si="1"/>
        <v>46</v>
      </c>
      <c r="X19" s="560" t="s">
        <v>584</v>
      </c>
      <c r="Y19" s="1082"/>
    </row>
    <row r="20" spans="1:25" ht="21.6" customHeight="1" thickBot="1">
      <c r="A20" s="1092" t="s">
        <v>436</v>
      </c>
      <c r="B20" s="551" t="s">
        <v>581</v>
      </c>
      <c r="C20" s="607">
        <v>2</v>
      </c>
      <c r="D20" s="607" t="s">
        <v>546</v>
      </c>
      <c r="E20" s="607">
        <v>5</v>
      </c>
      <c r="F20" s="607" t="s">
        <v>546</v>
      </c>
      <c r="G20" s="607" t="s">
        <v>546</v>
      </c>
      <c r="H20" s="607" t="s">
        <v>546</v>
      </c>
      <c r="I20" s="607">
        <v>1</v>
      </c>
      <c r="J20" s="607">
        <v>1</v>
      </c>
      <c r="K20" s="607" t="s">
        <v>546</v>
      </c>
      <c r="L20" s="607" t="s">
        <v>546</v>
      </c>
      <c r="M20" s="607" t="s">
        <v>546</v>
      </c>
      <c r="N20" s="607">
        <v>1</v>
      </c>
      <c r="O20" s="607">
        <v>2</v>
      </c>
      <c r="P20" s="607" t="s">
        <v>546</v>
      </c>
      <c r="Q20" s="607" t="s">
        <v>546</v>
      </c>
      <c r="R20" s="607" t="s">
        <v>546</v>
      </c>
      <c r="S20" s="607">
        <v>0</v>
      </c>
      <c r="T20" s="607" t="s">
        <v>546</v>
      </c>
      <c r="U20" s="901">
        <f t="shared" si="0"/>
        <v>10</v>
      </c>
      <c r="V20" s="901">
        <f t="shared" si="0"/>
        <v>2</v>
      </c>
      <c r="W20" s="901">
        <f t="shared" si="1"/>
        <v>12</v>
      </c>
      <c r="X20" s="561" t="s">
        <v>582</v>
      </c>
      <c r="Y20" s="1093" t="s">
        <v>57</v>
      </c>
    </row>
    <row r="21" spans="1:25" ht="21.6" customHeight="1" thickBot="1">
      <c r="A21" s="1092"/>
      <c r="B21" s="551" t="s">
        <v>583</v>
      </c>
      <c r="C21" s="607" t="s">
        <v>546</v>
      </c>
      <c r="D21" s="607">
        <v>1</v>
      </c>
      <c r="E21" s="607" t="s">
        <v>546</v>
      </c>
      <c r="F21" s="607">
        <v>1</v>
      </c>
      <c r="G21" s="607" t="s">
        <v>546</v>
      </c>
      <c r="H21" s="607" t="s">
        <v>546</v>
      </c>
      <c r="I21" s="607" t="s">
        <v>546</v>
      </c>
      <c r="J21" s="607" t="s">
        <v>546</v>
      </c>
      <c r="K21" s="607" t="s">
        <v>546</v>
      </c>
      <c r="L21" s="607" t="s">
        <v>546</v>
      </c>
      <c r="M21" s="607" t="s">
        <v>546</v>
      </c>
      <c r="N21" s="607">
        <v>1</v>
      </c>
      <c r="O21" s="607" t="s">
        <v>546</v>
      </c>
      <c r="P21" s="607" t="s">
        <v>546</v>
      </c>
      <c r="Q21" s="607" t="s">
        <v>546</v>
      </c>
      <c r="R21" s="607" t="s">
        <v>546</v>
      </c>
      <c r="S21" s="607">
        <v>0</v>
      </c>
      <c r="T21" s="607" t="s">
        <v>546</v>
      </c>
      <c r="U21" s="901">
        <f t="shared" si="0"/>
        <v>0</v>
      </c>
      <c r="V21" s="901">
        <f t="shared" si="0"/>
        <v>3</v>
      </c>
      <c r="W21" s="901">
        <f t="shared" si="1"/>
        <v>3</v>
      </c>
      <c r="X21" s="561" t="s">
        <v>584</v>
      </c>
      <c r="Y21" s="1093"/>
    </row>
    <row r="22" spans="1:25" ht="21.6" customHeight="1" thickBot="1">
      <c r="A22" s="1080" t="s">
        <v>538</v>
      </c>
      <c r="B22" s="550" t="s">
        <v>581</v>
      </c>
      <c r="C22" s="606">
        <v>30</v>
      </c>
      <c r="D22" s="606" t="s">
        <v>546</v>
      </c>
      <c r="E22" s="606">
        <v>42</v>
      </c>
      <c r="F22" s="606">
        <v>2</v>
      </c>
      <c r="G22" s="606">
        <v>5</v>
      </c>
      <c r="H22" s="606">
        <v>3</v>
      </c>
      <c r="I22" s="606">
        <v>11</v>
      </c>
      <c r="J22" s="606">
        <v>1</v>
      </c>
      <c r="K22" s="606">
        <v>3</v>
      </c>
      <c r="L22" s="606" t="s">
        <v>546</v>
      </c>
      <c r="M22" s="606">
        <v>1</v>
      </c>
      <c r="N22" s="606" t="s">
        <v>546</v>
      </c>
      <c r="O22" s="606">
        <v>15</v>
      </c>
      <c r="P22" s="606">
        <v>2</v>
      </c>
      <c r="Q22" s="606">
        <v>3</v>
      </c>
      <c r="R22" s="606">
        <v>1</v>
      </c>
      <c r="S22" s="606">
        <v>0</v>
      </c>
      <c r="T22" s="606">
        <v>1</v>
      </c>
      <c r="U22" s="900">
        <f t="shared" si="0"/>
        <v>110</v>
      </c>
      <c r="V22" s="900">
        <f t="shared" si="0"/>
        <v>10</v>
      </c>
      <c r="W22" s="900">
        <f t="shared" si="1"/>
        <v>120</v>
      </c>
      <c r="X22" s="560" t="s">
        <v>582</v>
      </c>
      <c r="Y22" s="1082" t="s">
        <v>56</v>
      </c>
    </row>
    <row r="23" spans="1:25" ht="21.6" customHeight="1" thickBot="1">
      <c r="A23" s="1080"/>
      <c r="B23" s="550" t="s">
        <v>583</v>
      </c>
      <c r="C23" s="606">
        <v>3</v>
      </c>
      <c r="D23" s="606">
        <v>28</v>
      </c>
      <c r="E23" s="606" t="s">
        <v>546</v>
      </c>
      <c r="F23" s="606">
        <v>22</v>
      </c>
      <c r="G23" s="606">
        <v>3</v>
      </c>
      <c r="H23" s="606">
        <v>7</v>
      </c>
      <c r="I23" s="606">
        <v>3</v>
      </c>
      <c r="J23" s="606">
        <v>6</v>
      </c>
      <c r="K23" s="606" t="s">
        <v>546</v>
      </c>
      <c r="L23" s="606">
        <v>1</v>
      </c>
      <c r="M23" s="606" t="s">
        <v>546</v>
      </c>
      <c r="N23" s="606" t="s">
        <v>546</v>
      </c>
      <c r="O23" s="606" t="s">
        <v>546</v>
      </c>
      <c r="P23" s="606">
        <v>21</v>
      </c>
      <c r="Q23" s="606" t="s">
        <v>546</v>
      </c>
      <c r="R23" s="606">
        <v>1</v>
      </c>
      <c r="S23" s="606">
        <v>0</v>
      </c>
      <c r="T23" s="606">
        <v>1</v>
      </c>
      <c r="U23" s="900">
        <f t="shared" si="0"/>
        <v>9</v>
      </c>
      <c r="V23" s="900">
        <f t="shared" si="0"/>
        <v>87</v>
      </c>
      <c r="W23" s="900">
        <f t="shared" si="1"/>
        <v>96</v>
      </c>
      <c r="X23" s="560" t="s">
        <v>584</v>
      </c>
      <c r="Y23" s="1082"/>
    </row>
    <row r="24" spans="1:25" ht="21.6" customHeight="1" thickBot="1">
      <c r="A24" s="1092" t="s">
        <v>569</v>
      </c>
      <c r="B24" s="551" t="s">
        <v>581</v>
      </c>
      <c r="C24" s="607">
        <v>7</v>
      </c>
      <c r="D24" s="607">
        <v>1</v>
      </c>
      <c r="E24" s="607">
        <v>72</v>
      </c>
      <c r="F24" s="607">
        <v>7</v>
      </c>
      <c r="G24" s="607">
        <v>7</v>
      </c>
      <c r="H24" s="607">
        <v>4</v>
      </c>
      <c r="I24" s="607">
        <v>5</v>
      </c>
      <c r="J24" s="607">
        <v>2</v>
      </c>
      <c r="K24" s="607">
        <v>1</v>
      </c>
      <c r="L24" s="607">
        <v>1</v>
      </c>
      <c r="M24" s="607" t="s">
        <v>546</v>
      </c>
      <c r="N24" s="607" t="s">
        <v>546</v>
      </c>
      <c r="O24" s="607">
        <v>1</v>
      </c>
      <c r="P24" s="607" t="s">
        <v>546</v>
      </c>
      <c r="Q24" s="607">
        <v>82</v>
      </c>
      <c r="R24" s="607">
        <v>8</v>
      </c>
      <c r="S24" s="607">
        <v>0</v>
      </c>
      <c r="T24" s="607">
        <v>1</v>
      </c>
      <c r="U24" s="901">
        <f t="shared" si="0"/>
        <v>175</v>
      </c>
      <c r="V24" s="901">
        <f t="shared" si="0"/>
        <v>24</v>
      </c>
      <c r="W24" s="901">
        <f t="shared" si="1"/>
        <v>199</v>
      </c>
      <c r="X24" s="561" t="s">
        <v>582</v>
      </c>
      <c r="Y24" s="1093" t="s">
        <v>585</v>
      </c>
    </row>
    <row r="25" spans="1:25" ht="21.6" customHeight="1" thickBot="1">
      <c r="A25" s="1092"/>
      <c r="B25" s="551" t="s">
        <v>583</v>
      </c>
      <c r="C25" s="607" t="s">
        <v>546</v>
      </c>
      <c r="D25" s="607">
        <v>3</v>
      </c>
      <c r="E25" s="607">
        <v>2</v>
      </c>
      <c r="F25" s="607">
        <v>9</v>
      </c>
      <c r="G25" s="607" t="s">
        <v>546</v>
      </c>
      <c r="H25" s="607">
        <v>4</v>
      </c>
      <c r="I25" s="607" t="s">
        <v>546</v>
      </c>
      <c r="J25" s="607">
        <v>5</v>
      </c>
      <c r="K25" s="607" t="s">
        <v>546</v>
      </c>
      <c r="L25" s="607">
        <v>1</v>
      </c>
      <c r="M25" s="607" t="s">
        <v>546</v>
      </c>
      <c r="N25" s="607" t="s">
        <v>546</v>
      </c>
      <c r="O25" s="607" t="s">
        <v>546</v>
      </c>
      <c r="P25" s="607">
        <v>2</v>
      </c>
      <c r="Q25" s="607">
        <v>5</v>
      </c>
      <c r="R25" s="607">
        <v>12</v>
      </c>
      <c r="S25" s="607">
        <v>0</v>
      </c>
      <c r="T25" s="607" t="s">
        <v>546</v>
      </c>
      <c r="U25" s="901">
        <f t="shared" si="0"/>
        <v>7</v>
      </c>
      <c r="V25" s="901">
        <f t="shared" si="0"/>
        <v>36</v>
      </c>
      <c r="W25" s="901">
        <f t="shared" si="1"/>
        <v>43</v>
      </c>
      <c r="X25" s="561" t="s">
        <v>584</v>
      </c>
      <c r="Y25" s="1093"/>
    </row>
    <row r="26" spans="1:25" ht="21.6" customHeight="1" thickBot="1">
      <c r="A26" s="1080" t="s">
        <v>576</v>
      </c>
      <c r="B26" s="550" t="s">
        <v>581</v>
      </c>
      <c r="C26" s="606">
        <v>0</v>
      </c>
      <c r="D26" s="606">
        <v>0</v>
      </c>
      <c r="E26" s="606">
        <v>0</v>
      </c>
      <c r="F26" s="606">
        <v>0</v>
      </c>
      <c r="G26" s="606">
        <v>0</v>
      </c>
      <c r="H26" s="606">
        <v>0</v>
      </c>
      <c r="I26" s="606">
        <v>0</v>
      </c>
      <c r="J26" s="606">
        <v>0</v>
      </c>
      <c r="K26" s="606">
        <v>0</v>
      </c>
      <c r="L26" s="606">
        <v>0</v>
      </c>
      <c r="M26" s="606">
        <v>0</v>
      </c>
      <c r="N26" s="606">
        <v>0</v>
      </c>
      <c r="O26" s="606">
        <v>0</v>
      </c>
      <c r="P26" s="606">
        <v>0</v>
      </c>
      <c r="Q26" s="606">
        <v>0</v>
      </c>
      <c r="R26" s="606">
        <v>0</v>
      </c>
      <c r="S26" s="606">
        <v>0</v>
      </c>
      <c r="T26" s="606">
        <v>0</v>
      </c>
      <c r="U26" s="900">
        <f t="shared" si="0"/>
        <v>0</v>
      </c>
      <c r="V26" s="900">
        <f t="shared" si="0"/>
        <v>0</v>
      </c>
      <c r="W26" s="900">
        <f t="shared" si="1"/>
        <v>0</v>
      </c>
      <c r="X26" s="560" t="s">
        <v>582</v>
      </c>
      <c r="Y26" s="1082" t="s">
        <v>586</v>
      </c>
    </row>
    <row r="27" spans="1:25" ht="21.6" customHeight="1">
      <c r="A27" s="1081"/>
      <c r="B27" s="621" t="s">
        <v>583</v>
      </c>
      <c r="C27" s="608">
        <v>6</v>
      </c>
      <c r="D27" s="608">
        <v>8</v>
      </c>
      <c r="E27" s="608">
        <v>12</v>
      </c>
      <c r="F27" s="608">
        <v>8</v>
      </c>
      <c r="G27" s="608">
        <v>1</v>
      </c>
      <c r="H27" s="608">
        <v>1</v>
      </c>
      <c r="I27" s="608">
        <v>1</v>
      </c>
      <c r="J27" s="608">
        <v>2</v>
      </c>
      <c r="K27" s="608" t="s">
        <v>546</v>
      </c>
      <c r="L27" s="608">
        <v>1</v>
      </c>
      <c r="M27" s="608" t="s">
        <v>546</v>
      </c>
      <c r="N27" s="608" t="s">
        <v>546</v>
      </c>
      <c r="O27" s="608">
        <v>1</v>
      </c>
      <c r="P27" s="608">
        <v>2</v>
      </c>
      <c r="Q27" s="608">
        <v>4</v>
      </c>
      <c r="R27" s="608">
        <v>3</v>
      </c>
      <c r="S27" s="608">
        <v>0</v>
      </c>
      <c r="T27" s="608">
        <v>1</v>
      </c>
      <c r="U27" s="902">
        <f t="shared" si="0"/>
        <v>25</v>
      </c>
      <c r="V27" s="902">
        <f t="shared" si="0"/>
        <v>26</v>
      </c>
      <c r="W27" s="902">
        <f t="shared" si="1"/>
        <v>51</v>
      </c>
      <c r="X27" s="622" t="s">
        <v>584</v>
      </c>
      <c r="Y27" s="1083"/>
    </row>
    <row r="28" spans="1:25" ht="21.6" customHeight="1" thickBot="1">
      <c r="A28" s="1084" t="s">
        <v>16</v>
      </c>
      <c r="B28" s="553" t="s">
        <v>581</v>
      </c>
      <c r="C28" s="824">
        <f>C10+C12+C14+C16+C18+C20+C22+C24+C26</f>
        <v>455</v>
      </c>
      <c r="D28" s="824">
        <f t="shared" ref="D28:T28" si="2">D10+D12+D14+D16+D18+D20+D22+D24+D26</f>
        <v>64</v>
      </c>
      <c r="E28" s="824">
        <f t="shared" si="2"/>
        <v>979</v>
      </c>
      <c r="F28" s="824">
        <f t="shared" si="2"/>
        <v>89</v>
      </c>
      <c r="G28" s="824">
        <f t="shared" si="2"/>
        <v>141</v>
      </c>
      <c r="H28" s="824">
        <f t="shared" si="2"/>
        <v>35</v>
      </c>
      <c r="I28" s="824">
        <f t="shared" si="2"/>
        <v>154</v>
      </c>
      <c r="J28" s="824">
        <f t="shared" si="2"/>
        <v>34</v>
      </c>
      <c r="K28" s="824">
        <f t="shared" si="2"/>
        <v>68</v>
      </c>
      <c r="L28" s="824">
        <f t="shared" si="2"/>
        <v>9</v>
      </c>
      <c r="M28" s="824">
        <f t="shared" si="2"/>
        <v>5</v>
      </c>
      <c r="N28" s="824">
        <f t="shared" si="2"/>
        <v>1</v>
      </c>
      <c r="O28" s="824">
        <f t="shared" si="2"/>
        <v>153</v>
      </c>
      <c r="P28" s="824">
        <f t="shared" si="2"/>
        <v>13</v>
      </c>
      <c r="Q28" s="824">
        <f t="shared" si="2"/>
        <v>205</v>
      </c>
      <c r="R28" s="824">
        <f t="shared" si="2"/>
        <v>15</v>
      </c>
      <c r="S28" s="824">
        <f t="shared" si="2"/>
        <v>0</v>
      </c>
      <c r="T28" s="824">
        <f t="shared" si="2"/>
        <v>9</v>
      </c>
      <c r="U28" s="824">
        <f t="shared" ref="D28:W29" si="3">U10+U12+U14+U16+U18+U20+U22+U24+U26</f>
        <v>2160</v>
      </c>
      <c r="V28" s="824">
        <f t="shared" si="3"/>
        <v>269</v>
      </c>
      <c r="W28" s="824">
        <f t="shared" si="3"/>
        <v>2429</v>
      </c>
      <c r="X28" s="547" t="s">
        <v>582</v>
      </c>
      <c r="Y28" s="1087" t="s">
        <v>55</v>
      </c>
    </row>
    <row r="29" spans="1:25" ht="21.6" customHeight="1" thickBot="1">
      <c r="A29" s="1085"/>
      <c r="B29" s="551" t="s">
        <v>583</v>
      </c>
      <c r="C29" s="825">
        <f>C11+C13+C15+C17+C19+C21+C23+C25+C27</f>
        <v>32</v>
      </c>
      <c r="D29" s="825">
        <f t="shared" si="3"/>
        <v>706</v>
      </c>
      <c r="E29" s="825">
        <f t="shared" si="3"/>
        <v>47</v>
      </c>
      <c r="F29" s="825">
        <f t="shared" si="3"/>
        <v>651</v>
      </c>
      <c r="G29" s="825">
        <f t="shared" si="3"/>
        <v>8</v>
      </c>
      <c r="H29" s="825">
        <f t="shared" si="3"/>
        <v>184</v>
      </c>
      <c r="I29" s="825">
        <f t="shared" si="3"/>
        <v>10</v>
      </c>
      <c r="J29" s="825">
        <f t="shared" si="3"/>
        <v>132</v>
      </c>
      <c r="K29" s="825">
        <f t="shared" si="3"/>
        <v>3</v>
      </c>
      <c r="L29" s="825">
        <f t="shared" si="3"/>
        <v>41</v>
      </c>
      <c r="M29" s="825">
        <f t="shared" si="3"/>
        <v>0</v>
      </c>
      <c r="N29" s="825">
        <f t="shared" si="3"/>
        <v>4</v>
      </c>
      <c r="O29" s="825">
        <f t="shared" si="3"/>
        <v>6</v>
      </c>
      <c r="P29" s="825">
        <f t="shared" si="3"/>
        <v>81</v>
      </c>
      <c r="Q29" s="825">
        <f t="shared" si="3"/>
        <v>10</v>
      </c>
      <c r="R29" s="825">
        <f t="shared" si="3"/>
        <v>37</v>
      </c>
      <c r="S29" s="825">
        <f t="shared" si="3"/>
        <v>0</v>
      </c>
      <c r="T29" s="825">
        <f t="shared" si="3"/>
        <v>9</v>
      </c>
      <c r="U29" s="825">
        <f t="shared" si="3"/>
        <v>116</v>
      </c>
      <c r="V29" s="825">
        <f t="shared" si="3"/>
        <v>1845</v>
      </c>
      <c r="W29" s="825">
        <f t="shared" si="3"/>
        <v>1961</v>
      </c>
      <c r="X29" s="544" t="s">
        <v>584</v>
      </c>
      <c r="Y29" s="1088"/>
    </row>
    <row r="30" spans="1:25" ht="21.6" customHeight="1">
      <c r="A30" s="1086"/>
      <c r="B30" s="554" t="s">
        <v>16</v>
      </c>
      <c r="C30" s="826">
        <f t="shared" ref="C30:V30" si="4">C28+C29</f>
        <v>487</v>
      </c>
      <c r="D30" s="826">
        <f t="shared" si="4"/>
        <v>770</v>
      </c>
      <c r="E30" s="826">
        <f t="shared" si="4"/>
        <v>1026</v>
      </c>
      <c r="F30" s="826">
        <f t="shared" si="4"/>
        <v>740</v>
      </c>
      <c r="G30" s="826">
        <f t="shared" si="4"/>
        <v>149</v>
      </c>
      <c r="H30" s="826">
        <f t="shared" si="4"/>
        <v>219</v>
      </c>
      <c r="I30" s="826">
        <f t="shared" si="4"/>
        <v>164</v>
      </c>
      <c r="J30" s="826">
        <f t="shared" si="4"/>
        <v>166</v>
      </c>
      <c r="K30" s="826">
        <f t="shared" si="4"/>
        <v>71</v>
      </c>
      <c r="L30" s="826">
        <f t="shared" si="4"/>
        <v>50</v>
      </c>
      <c r="M30" s="826">
        <f t="shared" si="4"/>
        <v>5</v>
      </c>
      <c r="N30" s="826">
        <f t="shared" si="4"/>
        <v>5</v>
      </c>
      <c r="O30" s="826">
        <f t="shared" si="4"/>
        <v>159</v>
      </c>
      <c r="P30" s="826">
        <f t="shared" si="4"/>
        <v>94</v>
      </c>
      <c r="Q30" s="826">
        <f t="shared" si="4"/>
        <v>215</v>
      </c>
      <c r="R30" s="826">
        <f t="shared" si="4"/>
        <v>52</v>
      </c>
      <c r="S30" s="826">
        <f t="shared" si="4"/>
        <v>0</v>
      </c>
      <c r="T30" s="826">
        <f t="shared" si="4"/>
        <v>18</v>
      </c>
      <c r="U30" s="826">
        <f t="shared" si="4"/>
        <v>2276</v>
      </c>
      <c r="V30" s="826">
        <f t="shared" si="4"/>
        <v>2114</v>
      </c>
      <c r="W30" s="826">
        <f>W28+W29</f>
        <v>4390</v>
      </c>
      <c r="X30" s="548" t="s">
        <v>55</v>
      </c>
      <c r="Y30" s="1089"/>
    </row>
    <row r="31" spans="1:25" s="924" customFormat="1" ht="14.25">
      <c r="A31" s="1090" t="s">
        <v>571</v>
      </c>
      <c r="B31" s="1090"/>
      <c r="C31" s="916"/>
      <c r="D31" s="916"/>
      <c r="U31" s="1091" t="s">
        <v>572</v>
      </c>
      <c r="V31" s="1091"/>
      <c r="W31" s="1091"/>
      <c r="X31" s="1091"/>
      <c r="Y31" s="1091"/>
    </row>
  </sheetData>
  <mergeCells count="39">
    <mergeCell ref="A1:Y1"/>
    <mergeCell ref="A2:Y2"/>
    <mergeCell ref="A3:Y3"/>
    <mergeCell ref="A6:B9"/>
    <mergeCell ref="C6:M6"/>
    <mergeCell ref="N6:W6"/>
    <mergeCell ref="X6:Y9"/>
    <mergeCell ref="C7:D7"/>
    <mergeCell ref="E7:F7"/>
    <mergeCell ref="G7:H7"/>
    <mergeCell ref="I7:J7"/>
    <mergeCell ref="K7:L7"/>
    <mergeCell ref="M7:N7"/>
    <mergeCell ref="O7:P7"/>
    <mergeCell ref="Q7:R7"/>
    <mergeCell ref="S7:T7"/>
    <mergeCell ref="U7:W7"/>
    <mergeCell ref="A10:A11"/>
    <mergeCell ref="Y10:Y11"/>
    <mergeCell ref="A12:A13"/>
    <mergeCell ref="Y12:Y13"/>
    <mergeCell ref="A14:A15"/>
    <mergeCell ref="Y14:Y15"/>
    <mergeCell ref="A16:A17"/>
    <mergeCell ref="Y16:Y17"/>
    <mergeCell ref="A18:A19"/>
    <mergeCell ref="Y18:Y19"/>
    <mergeCell ref="A20:A21"/>
    <mergeCell ref="Y20:Y21"/>
    <mergeCell ref="A22:A23"/>
    <mergeCell ref="Y22:Y23"/>
    <mergeCell ref="A24:A25"/>
    <mergeCell ref="Y24:Y25"/>
    <mergeCell ref="A26:A27"/>
    <mergeCell ref="Y26:Y27"/>
    <mergeCell ref="A28:A30"/>
    <mergeCell ref="Y28:Y30"/>
    <mergeCell ref="A31:B31"/>
    <mergeCell ref="U31:Y31"/>
  </mergeCells>
  <printOptions horizontalCentered="1" verticalCentered="1"/>
  <pageMargins left="0" right="0" top="0" bottom="0" header="0" footer="0"/>
  <pageSetup paperSize="9" scale="7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55:J55"/>
  <sheetViews>
    <sheetView rightToLeft="1" view="pageBreakPreview" zoomScaleNormal="100" zoomScaleSheetLayoutView="100" workbookViewId="0">
      <selection activeCell="L12" sqref="L12"/>
    </sheetView>
  </sheetViews>
  <sheetFormatPr defaultColWidth="9.140625" defaultRowHeight="12.75"/>
  <cols>
    <col min="1" max="16384" width="9.140625" style="1"/>
  </cols>
  <sheetData>
    <row r="55" spans="1:10">
      <c r="A55" s="1070" t="s">
        <v>66</v>
      </c>
      <c r="B55" s="1116"/>
      <c r="C55" s="1116"/>
      <c r="D55" s="1116"/>
      <c r="E55" s="1116"/>
      <c r="F55" s="1116"/>
      <c r="G55" s="1116"/>
      <c r="H55" s="1116"/>
      <c r="I55" s="1116"/>
      <c r="J55" s="1116"/>
    </row>
  </sheetData>
  <mergeCells count="1">
    <mergeCell ref="A55:J55"/>
  </mergeCells>
  <printOptions horizontalCentered="1" verticalCentered="1"/>
  <pageMargins left="0" right="0" top="0" bottom="0"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19"/>
  <sheetViews>
    <sheetView rightToLeft="1" view="pageBreakPreview" zoomScaleNormal="100" zoomScaleSheetLayoutView="100" workbookViewId="0">
      <selection activeCell="E19" sqref="E19:F19"/>
    </sheetView>
  </sheetViews>
  <sheetFormatPr defaultColWidth="9.140625" defaultRowHeight="12.75"/>
  <cols>
    <col min="1" max="1" width="18.28515625" style="2" customWidth="1"/>
    <col min="2" max="2" width="19.140625" style="2" customWidth="1"/>
    <col min="3" max="3" width="15.7109375" style="2" customWidth="1"/>
    <col min="4" max="4" width="14.28515625" style="2" customWidth="1"/>
    <col min="5" max="5" width="15.7109375" style="2" customWidth="1"/>
    <col min="6" max="6" width="16.140625" style="2" customWidth="1"/>
    <col min="7" max="7" width="12.140625" style="2" customWidth="1"/>
    <col min="8" max="8" width="16.140625" style="2" customWidth="1"/>
    <col min="9" max="16384" width="9.140625" style="2"/>
  </cols>
  <sheetData>
    <row r="1" spans="1:9" ht="18">
      <c r="A1" s="1041" t="s">
        <v>94</v>
      </c>
      <c r="B1" s="1041"/>
      <c r="C1" s="1041"/>
      <c r="D1" s="1041"/>
      <c r="E1" s="1041"/>
      <c r="F1" s="1041"/>
      <c r="G1" s="1041"/>
      <c r="H1" s="1041"/>
    </row>
    <row r="2" spans="1:9" ht="36" customHeight="1">
      <c r="A2" s="1068" t="s">
        <v>93</v>
      </c>
      <c r="B2" s="1068"/>
      <c r="C2" s="1068"/>
      <c r="D2" s="1068"/>
      <c r="E2" s="1068"/>
      <c r="F2" s="1068"/>
      <c r="G2" s="1068"/>
      <c r="H2" s="1068"/>
    </row>
    <row r="3" spans="1:9" ht="15.75">
      <c r="A3" s="1069">
        <v>2021</v>
      </c>
      <c r="B3" s="1069"/>
      <c r="C3" s="1069"/>
      <c r="D3" s="1069"/>
      <c r="E3" s="1069"/>
      <c r="F3" s="1069"/>
      <c r="G3" s="1069"/>
      <c r="H3" s="1069"/>
    </row>
    <row r="4" spans="1:9" s="29" customFormat="1" ht="20.25" customHeight="1">
      <c r="A4" s="363" t="s">
        <v>111</v>
      </c>
      <c r="B4" s="371"/>
      <c r="C4" s="453"/>
      <c r="D4" s="453"/>
      <c r="E4" s="453"/>
      <c r="F4" s="453"/>
      <c r="G4" s="370"/>
      <c r="H4" s="370" t="s">
        <v>382</v>
      </c>
      <c r="I4" s="30"/>
    </row>
    <row r="5" spans="1:9" ht="30.75" customHeight="1" thickBot="1">
      <c r="A5" s="1117" t="s">
        <v>92</v>
      </c>
      <c r="B5" s="1119" t="s">
        <v>64</v>
      </c>
      <c r="C5" s="1119"/>
      <c r="D5" s="1119"/>
      <c r="E5" s="1119" t="s">
        <v>63</v>
      </c>
      <c r="F5" s="1119"/>
      <c r="G5" s="1119"/>
      <c r="H5" s="1120" t="s">
        <v>91</v>
      </c>
    </row>
    <row r="6" spans="1:9" ht="30.75" customHeight="1">
      <c r="A6" s="1118"/>
      <c r="B6" s="440" t="s">
        <v>1033</v>
      </c>
      <c r="C6" s="440" t="s">
        <v>1034</v>
      </c>
      <c r="D6" s="440" t="s">
        <v>437</v>
      </c>
      <c r="E6" s="440" t="s">
        <v>1035</v>
      </c>
      <c r="F6" s="440" t="s">
        <v>1036</v>
      </c>
      <c r="G6" s="440" t="s">
        <v>437</v>
      </c>
      <c r="H6" s="1121"/>
    </row>
    <row r="7" spans="1:9" ht="21.75" customHeight="1" thickBot="1">
      <c r="A7" s="133" t="s">
        <v>90</v>
      </c>
      <c r="B7" s="326">
        <v>235</v>
      </c>
      <c r="C7" s="326">
        <v>171</v>
      </c>
      <c r="D7" s="327">
        <v>406</v>
      </c>
      <c r="E7" s="326">
        <v>222</v>
      </c>
      <c r="F7" s="326">
        <v>184</v>
      </c>
      <c r="G7" s="327">
        <v>406</v>
      </c>
      <c r="H7" s="134" t="s">
        <v>89</v>
      </c>
    </row>
    <row r="8" spans="1:9" ht="21.75" customHeight="1" thickBot="1">
      <c r="A8" s="43" t="s">
        <v>88</v>
      </c>
      <c r="B8" s="123">
        <v>172</v>
      </c>
      <c r="C8" s="123">
        <v>127</v>
      </c>
      <c r="D8" s="327">
        <v>299</v>
      </c>
      <c r="E8" s="123">
        <v>158</v>
      </c>
      <c r="F8" s="123">
        <v>141</v>
      </c>
      <c r="G8" s="327">
        <v>299</v>
      </c>
      <c r="H8" s="42" t="s">
        <v>87</v>
      </c>
    </row>
    <row r="9" spans="1:9" ht="21.75" customHeight="1" thickBot="1">
      <c r="A9" s="135" t="s">
        <v>86</v>
      </c>
      <c r="B9" s="123">
        <v>218</v>
      </c>
      <c r="C9" s="123">
        <v>158</v>
      </c>
      <c r="D9" s="327">
        <v>376</v>
      </c>
      <c r="E9" s="123">
        <v>207</v>
      </c>
      <c r="F9" s="123">
        <v>169</v>
      </c>
      <c r="G9" s="327">
        <v>376</v>
      </c>
      <c r="H9" s="41" t="s">
        <v>85</v>
      </c>
    </row>
    <row r="10" spans="1:9" ht="21.75" customHeight="1" thickBot="1">
      <c r="A10" s="43" t="s">
        <v>84</v>
      </c>
      <c r="B10" s="123">
        <v>192</v>
      </c>
      <c r="C10" s="123">
        <v>152</v>
      </c>
      <c r="D10" s="327">
        <v>344</v>
      </c>
      <c r="E10" s="123">
        <v>183</v>
      </c>
      <c r="F10" s="123">
        <v>161</v>
      </c>
      <c r="G10" s="327">
        <v>344</v>
      </c>
      <c r="H10" s="42" t="s">
        <v>83</v>
      </c>
    </row>
    <row r="11" spans="1:9" ht="21.75" customHeight="1" thickBot="1">
      <c r="A11" s="135" t="s">
        <v>82</v>
      </c>
      <c r="B11" s="123">
        <v>188</v>
      </c>
      <c r="C11" s="123">
        <v>126</v>
      </c>
      <c r="D11" s="327">
        <v>314</v>
      </c>
      <c r="E11" s="123">
        <v>182</v>
      </c>
      <c r="F11" s="123">
        <v>132</v>
      </c>
      <c r="G11" s="327">
        <v>314</v>
      </c>
      <c r="H11" s="41" t="s">
        <v>81</v>
      </c>
    </row>
    <row r="12" spans="1:9" ht="21.75" customHeight="1" thickBot="1">
      <c r="A12" s="43" t="s">
        <v>80</v>
      </c>
      <c r="B12" s="123">
        <v>237</v>
      </c>
      <c r="C12" s="123">
        <v>184</v>
      </c>
      <c r="D12" s="327">
        <v>421</v>
      </c>
      <c r="E12" s="123">
        <v>233</v>
      </c>
      <c r="F12" s="123">
        <v>188</v>
      </c>
      <c r="G12" s="327">
        <v>421</v>
      </c>
      <c r="H12" s="42" t="s">
        <v>79</v>
      </c>
    </row>
    <row r="13" spans="1:9" ht="21.75" customHeight="1" thickBot="1">
      <c r="A13" s="135" t="s">
        <v>78</v>
      </c>
      <c r="B13" s="123">
        <v>187</v>
      </c>
      <c r="C13" s="123">
        <v>159</v>
      </c>
      <c r="D13" s="327">
        <v>346</v>
      </c>
      <c r="E13" s="123">
        <v>181</v>
      </c>
      <c r="F13" s="123">
        <v>165</v>
      </c>
      <c r="G13" s="327">
        <v>346</v>
      </c>
      <c r="H13" s="41" t="s">
        <v>77</v>
      </c>
    </row>
    <row r="14" spans="1:9" ht="21.75" customHeight="1" thickBot="1">
      <c r="A14" s="43" t="s">
        <v>76</v>
      </c>
      <c r="B14" s="123">
        <v>174</v>
      </c>
      <c r="C14" s="123">
        <v>166</v>
      </c>
      <c r="D14" s="327">
        <v>340</v>
      </c>
      <c r="E14" s="123">
        <v>154</v>
      </c>
      <c r="F14" s="123">
        <v>186</v>
      </c>
      <c r="G14" s="327">
        <v>340</v>
      </c>
      <c r="H14" s="42" t="s">
        <v>75</v>
      </c>
    </row>
    <row r="15" spans="1:9" ht="21.75" customHeight="1" thickBot="1">
      <c r="A15" s="135" t="s">
        <v>74</v>
      </c>
      <c r="B15" s="123">
        <v>227</v>
      </c>
      <c r="C15" s="123">
        <v>137</v>
      </c>
      <c r="D15" s="327">
        <v>364</v>
      </c>
      <c r="E15" s="123">
        <v>210</v>
      </c>
      <c r="F15" s="123">
        <v>154</v>
      </c>
      <c r="G15" s="327">
        <v>364</v>
      </c>
      <c r="H15" s="41" t="s">
        <v>73</v>
      </c>
    </row>
    <row r="16" spans="1:9" ht="21.75" customHeight="1" thickBot="1">
      <c r="A16" s="43" t="s">
        <v>72</v>
      </c>
      <c r="B16" s="123">
        <v>216</v>
      </c>
      <c r="C16" s="123">
        <v>171</v>
      </c>
      <c r="D16" s="327">
        <v>387</v>
      </c>
      <c r="E16" s="123">
        <v>205</v>
      </c>
      <c r="F16" s="123">
        <v>182</v>
      </c>
      <c r="G16" s="327">
        <v>387</v>
      </c>
      <c r="H16" s="42" t="s">
        <v>71</v>
      </c>
    </row>
    <row r="17" spans="1:8" ht="21.75" customHeight="1" thickBot="1">
      <c r="A17" s="135" t="s">
        <v>70</v>
      </c>
      <c r="B17" s="123">
        <v>199</v>
      </c>
      <c r="C17" s="123">
        <v>191</v>
      </c>
      <c r="D17" s="327">
        <v>390</v>
      </c>
      <c r="E17" s="123">
        <v>180</v>
      </c>
      <c r="F17" s="123">
        <v>210</v>
      </c>
      <c r="G17" s="327">
        <v>390</v>
      </c>
      <c r="H17" s="41" t="s">
        <v>69</v>
      </c>
    </row>
    <row r="18" spans="1:8" ht="21.75" customHeight="1">
      <c r="A18" s="190" t="s">
        <v>68</v>
      </c>
      <c r="B18" s="451">
        <v>184</v>
      </c>
      <c r="C18" s="451">
        <v>219</v>
      </c>
      <c r="D18" s="452">
        <v>403</v>
      </c>
      <c r="E18" s="451">
        <v>161</v>
      </c>
      <c r="F18" s="451">
        <v>242</v>
      </c>
      <c r="G18" s="473">
        <v>403</v>
      </c>
      <c r="H18" s="191" t="s">
        <v>67</v>
      </c>
    </row>
    <row r="19" spans="1:8" ht="21.75" customHeight="1">
      <c r="A19" s="450" t="s">
        <v>16</v>
      </c>
      <c r="B19" s="968">
        <f>SUM(B7:B18)</f>
        <v>2429</v>
      </c>
      <c r="C19" s="968">
        <f>SUM(Table_Default__XLS_TAB_7[M_NQTRI_COUNT])</f>
        <v>1961</v>
      </c>
      <c r="D19" s="968">
        <f>SUM(Table_Default__XLS_TAB_7[M_QTRI_TOT_COUNT])</f>
        <v>4390</v>
      </c>
      <c r="E19" s="968">
        <f>SUM(Table_Default__XLS_TAB_7[W_QTRI_COUNT])</f>
        <v>2276</v>
      </c>
      <c r="F19" s="968">
        <f>SUM(Table_Default__XLS_TAB_7[W_NQTRI_COUNT])</f>
        <v>2114</v>
      </c>
      <c r="G19" s="969">
        <f>SUM(Table_Default__XLS_TAB_7[W_QTRI_TOT_COUNT])</f>
        <v>4390</v>
      </c>
      <c r="H19" s="586" t="s">
        <v>55</v>
      </c>
    </row>
  </sheetData>
  <mergeCells count="7">
    <mergeCell ref="A5:A6"/>
    <mergeCell ref="B5:D5"/>
    <mergeCell ref="E5:G5"/>
    <mergeCell ref="H5:H6"/>
    <mergeCell ref="A1:H1"/>
    <mergeCell ref="A2:H2"/>
    <mergeCell ref="A3:H3"/>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31"/>
  <sheetViews>
    <sheetView rightToLeft="1" view="pageBreakPreview" topLeftCell="A4" zoomScaleNormal="100" zoomScaleSheetLayoutView="100" workbookViewId="0">
      <selection activeCell="G15" sqref="G15"/>
    </sheetView>
  </sheetViews>
  <sheetFormatPr defaultColWidth="9.140625" defaultRowHeight="12.75"/>
  <cols>
    <col min="1" max="1" width="19.85546875" style="1" customWidth="1"/>
    <col min="2" max="8" width="13.42578125" style="1" customWidth="1"/>
    <col min="9" max="9" width="13.5703125" style="1" customWidth="1"/>
    <col min="10" max="10" width="23.7109375" style="1" customWidth="1"/>
    <col min="11" max="16384" width="9.140625" style="1"/>
  </cols>
  <sheetData>
    <row r="1" spans="1:10" ht="24" customHeight="1">
      <c r="A1" s="1129" t="s">
        <v>113</v>
      </c>
      <c r="B1" s="1129"/>
      <c r="C1" s="1129"/>
      <c r="D1" s="1129"/>
      <c r="E1" s="1129"/>
      <c r="F1" s="1129"/>
      <c r="G1" s="1129"/>
      <c r="H1" s="1129"/>
      <c r="I1" s="1129"/>
      <c r="J1" s="1129"/>
    </row>
    <row r="2" spans="1:10" ht="15.75" customHeight="1">
      <c r="A2" s="1100" t="s">
        <v>112</v>
      </c>
      <c r="B2" s="1100"/>
      <c r="C2" s="1100"/>
      <c r="D2" s="1100"/>
      <c r="E2" s="1100"/>
      <c r="F2" s="1100"/>
      <c r="G2" s="1100"/>
      <c r="H2" s="1100"/>
      <c r="I2" s="1100"/>
      <c r="J2" s="1100"/>
    </row>
    <row r="3" spans="1:10" ht="15.75" customHeight="1">
      <c r="A3" s="1100">
        <v>2021</v>
      </c>
      <c r="B3" s="1100"/>
      <c r="C3" s="1100"/>
      <c r="D3" s="1100"/>
      <c r="E3" s="1100"/>
      <c r="F3" s="1100"/>
      <c r="G3" s="1100"/>
      <c r="H3" s="1100"/>
      <c r="I3" s="1100"/>
      <c r="J3" s="1100"/>
    </row>
    <row r="4" spans="1:10" ht="15.75" customHeight="1">
      <c r="A4" s="373"/>
      <c r="B4" s="373"/>
      <c r="C4" s="373"/>
      <c r="D4" s="373"/>
      <c r="E4" s="373"/>
      <c r="F4" s="373"/>
      <c r="G4" s="373"/>
      <c r="H4" s="373"/>
      <c r="I4" s="373"/>
      <c r="J4" s="373"/>
    </row>
    <row r="5" spans="1:10" s="29" customFormat="1" ht="16.5">
      <c r="A5" s="363" t="s">
        <v>130</v>
      </c>
      <c r="B5" s="363"/>
      <c r="C5" s="364"/>
      <c r="D5" s="365"/>
      <c r="E5" s="365"/>
      <c r="F5" s="365"/>
      <c r="G5" s="365"/>
      <c r="H5" s="365"/>
      <c r="I5" s="370"/>
      <c r="J5" s="370" t="s">
        <v>129</v>
      </c>
    </row>
    <row r="6" spans="1:10" ht="30" customHeight="1" thickBot="1">
      <c r="A6" s="1044" t="s">
        <v>110</v>
      </c>
      <c r="B6" s="1076" t="s">
        <v>109</v>
      </c>
      <c r="C6" s="1130"/>
      <c r="D6" s="1130"/>
      <c r="E6" s="1130"/>
      <c r="F6" s="1130"/>
      <c r="G6" s="1130"/>
      <c r="H6" s="1078"/>
      <c r="I6" s="1125" t="s">
        <v>593</v>
      </c>
      <c r="J6" s="1127" t="s">
        <v>108</v>
      </c>
    </row>
    <row r="7" spans="1:10" ht="73.5" customHeight="1">
      <c r="A7" s="1124"/>
      <c r="B7" s="535" t="s">
        <v>592</v>
      </c>
      <c r="C7" s="535" t="s">
        <v>681</v>
      </c>
      <c r="D7" s="535" t="s">
        <v>682</v>
      </c>
      <c r="E7" s="535" t="s">
        <v>719</v>
      </c>
      <c r="F7" s="535" t="s">
        <v>683</v>
      </c>
      <c r="G7" s="535" t="s">
        <v>720</v>
      </c>
      <c r="H7" s="439" t="s">
        <v>107</v>
      </c>
      <c r="I7" s="1126"/>
      <c r="J7" s="1128"/>
    </row>
    <row r="8" spans="1:10" ht="30.75" customHeight="1" thickBot="1">
      <c r="A8" s="133" t="s">
        <v>106</v>
      </c>
      <c r="B8" s="339">
        <v>2160</v>
      </c>
      <c r="C8" s="339">
        <v>133</v>
      </c>
      <c r="D8" s="339">
        <v>91</v>
      </c>
      <c r="E8" s="339">
        <v>35</v>
      </c>
      <c r="F8" s="339">
        <v>6</v>
      </c>
      <c r="G8" s="339">
        <v>4</v>
      </c>
      <c r="H8" s="466">
        <v>2429</v>
      </c>
      <c r="I8" s="137">
        <f>SUM(H8/$H$14)*100</f>
        <v>55.33029612756264</v>
      </c>
      <c r="J8" s="134" t="s">
        <v>690</v>
      </c>
    </row>
    <row r="9" spans="1:10" ht="30.75" customHeight="1" thickBot="1">
      <c r="A9" s="43" t="s">
        <v>105</v>
      </c>
      <c r="B9" s="340">
        <v>80</v>
      </c>
      <c r="C9" s="340">
        <v>12</v>
      </c>
      <c r="D9" s="340">
        <v>10</v>
      </c>
      <c r="E9" s="340">
        <v>2</v>
      </c>
      <c r="F9" s="340">
        <v>0</v>
      </c>
      <c r="G9" s="340">
        <v>0</v>
      </c>
      <c r="H9" s="466">
        <v>104</v>
      </c>
      <c r="I9" s="138">
        <f>SUM(H9/$H$14)*100</f>
        <v>2.369020501138952</v>
      </c>
      <c r="J9" s="42" t="s">
        <v>422</v>
      </c>
    </row>
    <row r="10" spans="1:10" ht="30.75" customHeight="1" thickBot="1">
      <c r="A10" s="135" t="s">
        <v>104</v>
      </c>
      <c r="B10" s="340">
        <v>26</v>
      </c>
      <c r="C10" s="340">
        <v>3</v>
      </c>
      <c r="D10" s="340">
        <v>887</v>
      </c>
      <c r="E10" s="340">
        <v>120</v>
      </c>
      <c r="F10" s="340">
        <v>69</v>
      </c>
      <c r="G10" s="340">
        <v>52</v>
      </c>
      <c r="H10" s="466">
        <v>1157</v>
      </c>
      <c r="I10" s="139">
        <f t="shared" ref="I10:I13" si="0">SUM(H10/$H$14)*100</f>
        <v>26.355353075170846</v>
      </c>
      <c r="J10" s="41" t="s">
        <v>423</v>
      </c>
    </row>
    <row r="11" spans="1:10" ht="30.75" customHeight="1" thickBot="1">
      <c r="A11" s="43" t="s">
        <v>717</v>
      </c>
      <c r="B11" s="340">
        <v>3</v>
      </c>
      <c r="C11" s="340">
        <v>1</v>
      </c>
      <c r="D11" s="340">
        <v>34</v>
      </c>
      <c r="E11" s="340">
        <v>510</v>
      </c>
      <c r="F11" s="340">
        <v>18</v>
      </c>
      <c r="G11" s="340">
        <v>3</v>
      </c>
      <c r="H11" s="466">
        <v>569</v>
      </c>
      <c r="I11" s="138">
        <f>SUM(H11/$H$14)*100</f>
        <v>12.96127562642369</v>
      </c>
      <c r="J11" s="42" t="s">
        <v>424</v>
      </c>
    </row>
    <row r="12" spans="1:10" ht="30.75" customHeight="1" thickBot="1">
      <c r="A12" s="135" t="s">
        <v>103</v>
      </c>
      <c r="B12" s="340">
        <v>2</v>
      </c>
      <c r="C12" s="340">
        <v>0</v>
      </c>
      <c r="D12" s="340">
        <v>34</v>
      </c>
      <c r="E12" s="340">
        <v>6</v>
      </c>
      <c r="F12" s="340">
        <v>5</v>
      </c>
      <c r="G12" s="340">
        <v>5</v>
      </c>
      <c r="H12" s="466">
        <v>52</v>
      </c>
      <c r="I12" s="139">
        <f t="shared" si="0"/>
        <v>1.184510250569476</v>
      </c>
      <c r="J12" s="41" t="s">
        <v>1012</v>
      </c>
    </row>
    <row r="13" spans="1:10" ht="30.75" customHeight="1" thickBot="1">
      <c r="A13" s="40" t="s">
        <v>718</v>
      </c>
      <c r="B13" s="341">
        <v>5</v>
      </c>
      <c r="C13" s="341">
        <v>1</v>
      </c>
      <c r="D13" s="341">
        <v>45</v>
      </c>
      <c r="E13" s="341">
        <v>13</v>
      </c>
      <c r="F13" s="341">
        <v>1</v>
      </c>
      <c r="G13" s="341">
        <v>14</v>
      </c>
      <c r="H13" s="466">
        <v>79</v>
      </c>
      <c r="I13" s="140">
        <f t="shared" si="0"/>
        <v>1.7995444191343963</v>
      </c>
      <c r="J13" s="39" t="s">
        <v>425</v>
      </c>
    </row>
    <row r="14" spans="1:10" ht="26.25" customHeight="1" thickBot="1">
      <c r="A14" s="780" t="s">
        <v>16</v>
      </c>
      <c r="B14" s="781">
        <f t="shared" ref="B14:G14" si="1">SUM(B8:B13)</f>
        <v>2276</v>
      </c>
      <c r="C14" s="781">
        <f t="shared" si="1"/>
        <v>150</v>
      </c>
      <c r="D14" s="781">
        <f t="shared" si="1"/>
        <v>1101</v>
      </c>
      <c r="E14" s="781">
        <f t="shared" si="1"/>
        <v>686</v>
      </c>
      <c r="F14" s="781">
        <f t="shared" si="1"/>
        <v>99</v>
      </c>
      <c r="G14" s="781">
        <f t="shared" si="1"/>
        <v>78</v>
      </c>
      <c r="H14" s="781">
        <f t="shared" ref="H14" si="2">SUM(H8:H13)</f>
        <v>4390</v>
      </c>
      <c r="I14" s="782">
        <f t="shared" ref="I14" si="3">SUM(I8:I13)</f>
        <v>99.999999999999986</v>
      </c>
      <c r="J14" s="783" t="s">
        <v>55</v>
      </c>
    </row>
    <row r="15" spans="1:10" ht="33.75" customHeight="1">
      <c r="A15" s="13" t="s">
        <v>102</v>
      </c>
      <c r="B15" s="903">
        <f>B14/$H$14%</f>
        <v>51.845102505694761</v>
      </c>
      <c r="C15" s="903">
        <f t="shared" ref="C15:H15" si="4">C14/$H$14%</f>
        <v>3.416856492027335</v>
      </c>
      <c r="D15" s="903">
        <f t="shared" si="4"/>
        <v>25.079726651480637</v>
      </c>
      <c r="E15" s="903">
        <f t="shared" si="4"/>
        <v>15.626423690205012</v>
      </c>
      <c r="F15" s="903">
        <f t="shared" si="4"/>
        <v>2.2551252847380412</v>
      </c>
      <c r="G15" s="903">
        <f t="shared" si="4"/>
        <v>1.7767653758542141</v>
      </c>
      <c r="H15" s="903">
        <f t="shared" si="4"/>
        <v>100</v>
      </c>
      <c r="I15" s="1122" t="s">
        <v>101</v>
      </c>
      <c r="J15" s="1123"/>
    </row>
    <row r="20" spans="1:2" ht="25.5">
      <c r="A20" s="46" t="s">
        <v>100</v>
      </c>
      <c r="B20" s="89"/>
    </row>
    <row r="21" spans="1:2" ht="38.25">
      <c r="A21" s="46" t="s">
        <v>99</v>
      </c>
      <c r="B21" s="89"/>
    </row>
    <row r="22" spans="1:2" ht="25.5">
      <c r="A22" s="46" t="s">
        <v>98</v>
      </c>
      <c r="B22" s="89"/>
    </row>
    <row r="23" spans="1:2" ht="25.5">
      <c r="A23" s="46" t="s">
        <v>97</v>
      </c>
      <c r="B23" s="89"/>
    </row>
    <row r="24" spans="1:2" ht="25.5">
      <c r="A24" s="46" t="s">
        <v>96</v>
      </c>
      <c r="B24" s="89"/>
    </row>
    <row r="25" spans="1:2" ht="26.25" thickBot="1">
      <c r="A25" s="45" t="s">
        <v>95</v>
      </c>
      <c r="B25" s="89"/>
    </row>
    <row r="26" spans="1:2" ht="13.5" thickTop="1">
      <c r="A26" s="46"/>
    </row>
    <row r="27" spans="1:2">
      <c r="A27" s="46"/>
    </row>
    <row r="28" spans="1:2">
      <c r="A28" s="46"/>
    </row>
    <row r="29" spans="1:2">
      <c r="A29" s="46"/>
    </row>
    <row r="30" spans="1:2" ht="13.5" thickBot="1">
      <c r="A30" s="45"/>
    </row>
    <row r="31" spans="1:2" ht="13.5" thickTop="1"/>
  </sheetData>
  <mergeCells count="8">
    <mergeCell ref="I15:J15"/>
    <mergeCell ref="A6:A7"/>
    <mergeCell ref="I6:I7"/>
    <mergeCell ref="J6:J7"/>
    <mergeCell ref="A1:J1"/>
    <mergeCell ref="A2:J2"/>
    <mergeCell ref="A3:J3"/>
    <mergeCell ref="B6:H6"/>
  </mergeCells>
  <printOptions horizontalCentered="1" verticalCentered="1"/>
  <pageMargins left="0" right="0" top="0" bottom="0" header="0" footer="0"/>
  <pageSetup paperSize="9" scale="87" orientation="landscape" r:id="rId1"/>
  <headerFooter alignWithMargins="0"/>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31:M31"/>
  <sheetViews>
    <sheetView rightToLeft="1" view="pageBreakPreview" zoomScaleNormal="100" zoomScaleSheetLayoutView="100" workbookViewId="0">
      <selection activeCell="N8" sqref="N8"/>
    </sheetView>
  </sheetViews>
  <sheetFormatPr defaultColWidth="9.140625" defaultRowHeight="12.75"/>
  <cols>
    <col min="1" max="16384" width="9.140625" style="1"/>
  </cols>
  <sheetData>
    <row r="31" spans="1:13" ht="15.75">
      <c r="A31" s="1070" t="s">
        <v>114</v>
      </c>
      <c r="B31" s="1070"/>
      <c r="C31" s="1070"/>
      <c r="D31" s="1070"/>
      <c r="E31" s="1070"/>
      <c r="F31" s="1070"/>
      <c r="G31" s="1070"/>
      <c r="H31" s="1070"/>
      <c r="I31" s="1070"/>
      <c r="J31" s="1070"/>
      <c r="K31" s="1070"/>
      <c r="L31" s="1070"/>
      <c r="M31" s="1070"/>
    </row>
  </sheetData>
  <mergeCells count="1">
    <mergeCell ref="A31:M31"/>
  </mergeCells>
  <printOptions horizontalCentered="1" verticalCentered="1"/>
  <pageMargins left="0" right="0" top="0" bottom="0" header="0" footer="0"/>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U14"/>
  <sheetViews>
    <sheetView rightToLeft="1" view="pageBreakPreview" zoomScaleNormal="100" zoomScaleSheetLayoutView="100" workbookViewId="0">
      <selection activeCell="P17" sqref="P17"/>
    </sheetView>
  </sheetViews>
  <sheetFormatPr defaultColWidth="9.140625" defaultRowHeight="12.75"/>
  <cols>
    <col min="1" max="1" width="24.28515625" style="2" customWidth="1"/>
    <col min="2" max="3" width="6.42578125" style="2" customWidth="1"/>
    <col min="4" max="4" width="6.85546875" style="2" bestFit="1" customWidth="1"/>
    <col min="5" max="14" width="6.42578125" style="2" customWidth="1"/>
    <col min="15" max="15" width="7.42578125" style="2" customWidth="1"/>
    <col min="16" max="16" width="9.42578125" style="2" customWidth="1"/>
    <col min="17" max="17" width="25.7109375" style="2" customWidth="1"/>
    <col min="18" max="16384" width="9.140625" style="2"/>
  </cols>
  <sheetData>
    <row r="1" spans="1:21" ht="21.75" customHeight="1">
      <c r="A1" s="1041" t="s">
        <v>131</v>
      </c>
      <c r="B1" s="1041"/>
      <c r="C1" s="1041"/>
      <c r="D1" s="1041"/>
      <c r="E1" s="1041"/>
      <c r="F1" s="1041"/>
      <c r="G1" s="1041"/>
      <c r="H1" s="1041"/>
      <c r="I1" s="1041"/>
      <c r="J1" s="1041"/>
      <c r="K1" s="1041"/>
      <c r="L1" s="1041"/>
      <c r="M1" s="1041"/>
      <c r="N1" s="1041"/>
      <c r="O1" s="1041"/>
      <c r="P1" s="1041"/>
      <c r="Q1" s="1041"/>
      <c r="R1" s="56"/>
      <c r="S1" s="56"/>
    </row>
    <row r="2" spans="1:21" ht="15.75" customHeight="1">
      <c r="A2" s="1069" t="s">
        <v>673</v>
      </c>
      <c r="B2" s="1069"/>
      <c r="C2" s="1069"/>
      <c r="D2" s="1069"/>
      <c r="E2" s="1069"/>
      <c r="F2" s="1069"/>
      <c r="G2" s="1069"/>
      <c r="H2" s="1069"/>
      <c r="I2" s="1069"/>
      <c r="J2" s="1069"/>
      <c r="K2" s="1069"/>
      <c r="L2" s="1069"/>
      <c r="M2" s="1069"/>
      <c r="N2" s="1069"/>
      <c r="O2" s="1069"/>
      <c r="P2" s="1069"/>
      <c r="Q2" s="1069"/>
      <c r="R2" s="55"/>
      <c r="S2" s="55"/>
    </row>
    <row r="3" spans="1:21" ht="18" customHeight="1">
      <c r="A3" s="1069">
        <v>2021</v>
      </c>
      <c r="B3" s="1069"/>
      <c r="C3" s="1069"/>
      <c r="D3" s="1069"/>
      <c r="E3" s="1069"/>
      <c r="F3" s="1069"/>
      <c r="G3" s="1069"/>
      <c r="H3" s="1069"/>
      <c r="I3" s="1069"/>
      <c r="J3" s="1069"/>
      <c r="K3" s="1069"/>
      <c r="L3" s="1069"/>
      <c r="M3" s="1069"/>
      <c r="N3" s="1069"/>
      <c r="O3" s="1069"/>
      <c r="P3" s="1069"/>
      <c r="Q3" s="1069"/>
      <c r="R3" s="54"/>
      <c r="S3" s="54"/>
      <c r="T3" s="54"/>
      <c r="U3" s="54"/>
    </row>
    <row r="4" spans="1:21" ht="15.75">
      <c r="A4" s="1069"/>
      <c r="B4" s="1069"/>
      <c r="C4" s="1069"/>
      <c r="D4" s="1069"/>
      <c r="E4" s="1069"/>
      <c r="F4" s="1069"/>
      <c r="G4" s="1069"/>
      <c r="H4" s="1069"/>
      <c r="I4" s="1069"/>
      <c r="J4" s="1069"/>
      <c r="K4" s="1069"/>
      <c r="L4" s="1069"/>
      <c r="M4" s="1069"/>
      <c r="N4" s="1069"/>
      <c r="O4" s="1069"/>
      <c r="P4" s="1069"/>
      <c r="Q4" s="1069"/>
    </row>
    <row r="5" spans="1:21" s="29" customFormat="1" ht="15.75">
      <c r="A5" s="374" t="s">
        <v>138</v>
      </c>
      <c r="B5" s="375"/>
      <c r="C5" s="375"/>
      <c r="D5" s="375"/>
      <c r="E5" s="375"/>
      <c r="F5" s="375"/>
      <c r="G5" s="375"/>
      <c r="H5" s="375"/>
      <c r="I5" s="375"/>
      <c r="J5" s="375"/>
      <c r="K5" s="375"/>
      <c r="L5" s="375"/>
      <c r="M5" s="375"/>
      <c r="N5" s="375"/>
      <c r="O5" s="375"/>
      <c r="P5" s="375"/>
      <c r="Q5" s="376" t="s">
        <v>137</v>
      </c>
    </row>
    <row r="6" spans="1:21" ht="26.25" customHeight="1" thickBot="1">
      <c r="A6" s="1131" t="s">
        <v>110</v>
      </c>
      <c r="B6" s="1119" t="s">
        <v>128</v>
      </c>
      <c r="C6" s="1119"/>
      <c r="D6" s="1119"/>
      <c r="E6" s="1119"/>
      <c r="F6" s="1119"/>
      <c r="G6" s="1119"/>
      <c r="H6" s="1119"/>
      <c r="I6" s="1119"/>
      <c r="J6" s="1119"/>
      <c r="K6" s="1119"/>
      <c r="L6" s="1119"/>
      <c r="M6" s="1119"/>
      <c r="N6" s="1119"/>
      <c r="O6" s="1119"/>
      <c r="P6" s="1119"/>
      <c r="Q6" s="1133" t="s">
        <v>108</v>
      </c>
    </row>
    <row r="7" spans="1:21" ht="57" customHeight="1">
      <c r="A7" s="1132" t="s">
        <v>110</v>
      </c>
      <c r="B7" s="330">
        <v>-20</v>
      </c>
      <c r="C7" s="330" t="s">
        <v>127</v>
      </c>
      <c r="D7" s="330" t="s">
        <v>126</v>
      </c>
      <c r="E7" s="330" t="s">
        <v>125</v>
      </c>
      <c r="F7" s="330" t="s">
        <v>124</v>
      </c>
      <c r="G7" s="330" t="s">
        <v>123</v>
      </c>
      <c r="H7" s="330" t="s">
        <v>122</v>
      </c>
      <c r="I7" s="330" t="s">
        <v>121</v>
      </c>
      <c r="J7" s="330" t="s">
        <v>120</v>
      </c>
      <c r="K7" s="330" t="s">
        <v>119</v>
      </c>
      <c r="L7" s="330" t="s">
        <v>118</v>
      </c>
      <c r="M7" s="330" t="s">
        <v>117</v>
      </c>
      <c r="N7" s="330" t="s">
        <v>116</v>
      </c>
      <c r="O7" s="331" t="s">
        <v>594</v>
      </c>
      <c r="P7" s="536" t="s">
        <v>595</v>
      </c>
      <c r="Q7" s="1134"/>
    </row>
    <row r="8" spans="1:21" ht="28.5" customHeight="1" thickBot="1">
      <c r="A8" s="454" t="s">
        <v>106</v>
      </c>
      <c r="B8" s="342">
        <v>27</v>
      </c>
      <c r="C8" s="342">
        <v>523</v>
      </c>
      <c r="D8" s="342">
        <v>1021</v>
      </c>
      <c r="E8" s="342">
        <v>416</v>
      </c>
      <c r="F8" s="342">
        <v>165</v>
      </c>
      <c r="G8" s="342">
        <v>109</v>
      </c>
      <c r="H8" s="342">
        <v>67</v>
      </c>
      <c r="I8" s="342">
        <v>48</v>
      </c>
      <c r="J8" s="342">
        <v>32</v>
      </c>
      <c r="K8" s="342">
        <v>12</v>
      </c>
      <c r="L8" s="342">
        <v>7</v>
      </c>
      <c r="M8" s="342">
        <v>0</v>
      </c>
      <c r="N8" s="342">
        <v>1</v>
      </c>
      <c r="O8" s="342">
        <v>1</v>
      </c>
      <c r="P8" s="343">
        <v>2429</v>
      </c>
      <c r="Q8" s="456" t="s">
        <v>1091</v>
      </c>
    </row>
    <row r="9" spans="1:21" ht="28.5" customHeight="1" thickBot="1">
      <c r="A9" s="455" t="s">
        <v>105</v>
      </c>
      <c r="B9" s="344">
        <v>3</v>
      </c>
      <c r="C9" s="344">
        <v>12</v>
      </c>
      <c r="D9" s="344">
        <v>32</v>
      </c>
      <c r="E9" s="344">
        <v>26</v>
      </c>
      <c r="F9" s="344">
        <v>12</v>
      </c>
      <c r="G9" s="344">
        <v>7</v>
      </c>
      <c r="H9" s="344">
        <v>6</v>
      </c>
      <c r="I9" s="344">
        <v>1</v>
      </c>
      <c r="J9" s="344">
        <v>1</v>
      </c>
      <c r="K9" s="344">
        <v>2</v>
      </c>
      <c r="L9" s="344">
        <v>1</v>
      </c>
      <c r="M9" s="344">
        <v>0</v>
      </c>
      <c r="N9" s="344">
        <v>0</v>
      </c>
      <c r="O9" s="344">
        <v>1</v>
      </c>
      <c r="P9" s="343">
        <v>104</v>
      </c>
      <c r="Q9" s="457" t="s">
        <v>422</v>
      </c>
    </row>
    <row r="10" spans="1:21" ht="28.5" customHeight="1" thickBot="1">
      <c r="A10" s="455" t="s">
        <v>104</v>
      </c>
      <c r="B10" s="344">
        <v>2</v>
      </c>
      <c r="C10" s="344">
        <v>88</v>
      </c>
      <c r="D10" s="344">
        <v>352</v>
      </c>
      <c r="E10" s="344">
        <v>349</v>
      </c>
      <c r="F10" s="344">
        <v>175</v>
      </c>
      <c r="G10" s="344">
        <v>98</v>
      </c>
      <c r="H10" s="344">
        <v>47</v>
      </c>
      <c r="I10" s="344">
        <v>29</v>
      </c>
      <c r="J10" s="344">
        <v>9</v>
      </c>
      <c r="K10" s="344">
        <v>1</v>
      </c>
      <c r="L10" s="344">
        <v>4</v>
      </c>
      <c r="M10" s="344">
        <v>1</v>
      </c>
      <c r="N10" s="344">
        <v>2</v>
      </c>
      <c r="O10" s="344">
        <v>0</v>
      </c>
      <c r="P10" s="343">
        <v>1157</v>
      </c>
      <c r="Q10" s="457" t="s">
        <v>423</v>
      </c>
    </row>
    <row r="11" spans="1:21" ht="28.5" customHeight="1" thickBot="1">
      <c r="A11" s="43" t="s">
        <v>731</v>
      </c>
      <c r="B11" s="344">
        <v>7</v>
      </c>
      <c r="C11" s="344">
        <v>102</v>
      </c>
      <c r="D11" s="344">
        <v>212</v>
      </c>
      <c r="E11" s="344">
        <v>146</v>
      </c>
      <c r="F11" s="344">
        <v>50</v>
      </c>
      <c r="G11" s="344">
        <v>30</v>
      </c>
      <c r="H11" s="344">
        <v>10</v>
      </c>
      <c r="I11" s="344">
        <v>8</v>
      </c>
      <c r="J11" s="344">
        <v>1</v>
      </c>
      <c r="K11" s="344">
        <v>1</v>
      </c>
      <c r="L11" s="344">
        <v>2</v>
      </c>
      <c r="M11" s="344">
        <v>0</v>
      </c>
      <c r="N11" s="344">
        <v>0</v>
      </c>
      <c r="O11" s="344">
        <v>0</v>
      </c>
      <c r="P11" s="343">
        <v>569</v>
      </c>
      <c r="Q11" s="457" t="s">
        <v>424</v>
      </c>
    </row>
    <row r="12" spans="1:21" ht="28.5" customHeight="1" thickBot="1">
      <c r="A12" s="135" t="s">
        <v>732</v>
      </c>
      <c r="B12" s="344">
        <v>0</v>
      </c>
      <c r="C12" s="344">
        <v>3</v>
      </c>
      <c r="D12" s="344">
        <v>11</v>
      </c>
      <c r="E12" s="344">
        <v>11</v>
      </c>
      <c r="F12" s="344">
        <v>9</v>
      </c>
      <c r="G12" s="344">
        <v>7</v>
      </c>
      <c r="H12" s="344">
        <v>1</v>
      </c>
      <c r="I12" s="344">
        <v>6</v>
      </c>
      <c r="J12" s="344">
        <v>1</v>
      </c>
      <c r="K12" s="344">
        <v>3</v>
      </c>
      <c r="L12" s="344">
        <v>0</v>
      </c>
      <c r="M12" s="344">
        <v>0</v>
      </c>
      <c r="N12" s="344">
        <v>0</v>
      </c>
      <c r="O12" s="344">
        <v>0</v>
      </c>
      <c r="P12" s="343">
        <v>52</v>
      </c>
      <c r="Q12" s="457" t="s">
        <v>1092</v>
      </c>
    </row>
    <row r="13" spans="1:21" ht="28.5" customHeight="1">
      <c r="A13" s="40" t="s">
        <v>1093</v>
      </c>
      <c r="B13" s="345">
        <v>0</v>
      </c>
      <c r="C13" s="345">
        <v>9</v>
      </c>
      <c r="D13" s="345">
        <v>28</v>
      </c>
      <c r="E13" s="345">
        <v>19</v>
      </c>
      <c r="F13" s="345">
        <v>11</v>
      </c>
      <c r="G13" s="345">
        <v>7</v>
      </c>
      <c r="H13" s="345">
        <v>1</v>
      </c>
      <c r="I13" s="345">
        <v>2</v>
      </c>
      <c r="J13" s="345">
        <v>2</v>
      </c>
      <c r="K13" s="345">
        <v>0</v>
      </c>
      <c r="L13" s="345">
        <v>0</v>
      </c>
      <c r="M13" s="345">
        <v>0</v>
      </c>
      <c r="N13" s="345">
        <v>0</v>
      </c>
      <c r="O13" s="345">
        <v>0</v>
      </c>
      <c r="P13" s="441">
        <v>79</v>
      </c>
      <c r="Q13" s="458" t="s">
        <v>425</v>
      </c>
    </row>
    <row r="14" spans="1:21" ht="27.75" customHeight="1" thickBot="1">
      <c r="A14" s="970" t="s">
        <v>16</v>
      </c>
      <c r="B14" s="971">
        <f>SUBTOTAL(109,Table_Default__XLS_TAB_9[AGE_LEVEL_LESS_20])</f>
        <v>39</v>
      </c>
      <c r="C14" s="971">
        <f>SUBTOTAL(109,Table_Default__XLS_TAB_9[AGE_LEVEL_20_24])</f>
        <v>737</v>
      </c>
      <c r="D14" s="971">
        <f>SUBTOTAL(109,Table_Default__XLS_TAB_9[AGE_LEVEL_25_29])</f>
        <v>1656</v>
      </c>
      <c r="E14" s="971">
        <f>SUBTOTAL(109,Table_Default__XLS_TAB_9[AGE_LEVEL_30_34])</f>
        <v>967</v>
      </c>
      <c r="F14" s="971">
        <f>SUBTOTAL(109,Table_Default__XLS_TAB_9[AGE_LEVEL_35_39])</f>
        <v>422</v>
      </c>
      <c r="G14" s="971">
        <f>SUBTOTAL(109,Table_Default__XLS_TAB_9[AGE_LEVEL_40_44])</f>
        <v>258</v>
      </c>
      <c r="H14" s="971">
        <f>SUBTOTAL(109,Table_Default__XLS_TAB_9[AGE_LEVEL_45_49])</f>
        <v>132</v>
      </c>
      <c r="I14" s="971">
        <f>SUBTOTAL(109,Table_Default__XLS_TAB_9[AGE_LEVEL_50_54])</f>
        <v>94</v>
      </c>
      <c r="J14" s="971">
        <f>SUBTOTAL(109,Table_Default__XLS_TAB_9[AGE_LEVEL_55_59])</f>
        <v>46</v>
      </c>
      <c r="K14" s="971">
        <f>SUBTOTAL(109,Table_Default__XLS_TAB_9[AGE_LEVEL_60_64])</f>
        <v>19</v>
      </c>
      <c r="L14" s="971">
        <f>SUBTOTAL(109,Table_Default__XLS_TAB_9[AGE_LEVEL_65_70])</f>
        <v>14</v>
      </c>
      <c r="M14" s="971">
        <f>SUBTOTAL(109,Table_Default__XLS_TAB_9[AGE_LEVEL_70_74])</f>
        <v>1</v>
      </c>
      <c r="N14" s="971">
        <f>SUBTOTAL(109,Table_Default__XLS_TAB_9[AGE_LEVEL_75])</f>
        <v>3</v>
      </c>
      <c r="O14" s="971">
        <f>SUBTOTAL(109,Table_Default__XLS_TAB_9[AGE_LEVEL_NOT_STATED])</f>
        <v>2</v>
      </c>
      <c r="P14" s="972">
        <f>SUBTOTAL(109,Table_Default__XLS_TAB_9[TOTAL])</f>
        <v>4390</v>
      </c>
      <c r="Q14" s="973" t="s">
        <v>55</v>
      </c>
    </row>
  </sheetData>
  <mergeCells count="7">
    <mergeCell ref="A6:A7"/>
    <mergeCell ref="Q6:Q7"/>
    <mergeCell ref="B6:P6"/>
    <mergeCell ref="A1:Q1"/>
    <mergeCell ref="A2:Q2"/>
    <mergeCell ref="A3:Q3"/>
    <mergeCell ref="A4:Q4"/>
  </mergeCells>
  <printOptions horizontalCentered="1" verticalCentered="1"/>
  <pageMargins left="0" right="0" top="0" bottom="0" header="0" footer="0"/>
  <pageSetup paperSize="9" scale="88" orientation="landscape" r:id="rId1"/>
  <headerFooter alignWithMargins="0"/>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14"/>
  <sheetViews>
    <sheetView rightToLeft="1" view="pageBreakPreview" zoomScaleNormal="100" zoomScaleSheetLayoutView="100" workbookViewId="0">
      <selection activeCell="K17" sqref="K17"/>
    </sheetView>
  </sheetViews>
  <sheetFormatPr defaultColWidth="9.140625" defaultRowHeight="12.75"/>
  <cols>
    <col min="1" max="1" width="20.28515625" style="1" customWidth="1"/>
    <col min="2" max="2" width="7.85546875" style="1" customWidth="1"/>
    <col min="3" max="3" width="9" style="1" customWidth="1"/>
    <col min="4" max="4" width="9.42578125" style="1" customWidth="1"/>
    <col min="5" max="6" width="6.85546875" style="1" customWidth="1"/>
    <col min="7" max="8" width="6.7109375" style="1" customWidth="1"/>
    <col min="9" max="9" width="6.85546875" style="1" customWidth="1"/>
    <col min="10" max="10" width="5.85546875" style="1" customWidth="1"/>
    <col min="11" max="11" width="5.28515625" style="1" customWidth="1"/>
    <col min="12" max="12" width="7.140625" style="1" customWidth="1"/>
    <col min="13" max="13" width="9.42578125" style="1" customWidth="1"/>
    <col min="14" max="14" width="26.7109375" style="1" customWidth="1"/>
    <col min="15" max="16384" width="9.140625" style="1"/>
  </cols>
  <sheetData>
    <row r="1" spans="1:18" s="2" customFormat="1" ht="21.75" customHeight="1">
      <c r="A1" s="1041" t="s">
        <v>140</v>
      </c>
      <c r="B1" s="1041"/>
      <c r="C1" s="1041"/>
      <c r="D1" s="1041"/>
      <c r="E1" s="1041"/>
      <c r="F1" s="1041"/>
      <c r="G1" s="1041"/>
      <c r="H1" s="1041"/>
      <c r="I1" s="1041"/>
      <c r="J1" s="1041"/>
      <c r="K1" s="1041"/>
      <c r="L1" s="1041"/>
      <c r="M1" s="1041"/>
      <c r="N1" s="1041"/>
      <c r="O1" s="56"/>
      <c r="P1" s="56"/>
    </row>
    <row r="2" spans="1:18" s="2" customFormat="1" ht="15.75" customHeight="1">
      <c r="A2" s="1069" t="s">
        <v>139</v>
      </c>
      <c r="B2" s="1069"/>
      <c r="C2" s="1069"/>
      <c r="D2" s="1069"/>
      <c r="E2" s="1069"/>
      <c r="F2" s="1069"/>
      <c r="G2" s="1069"/>
      <c r="H2" s="1069"/>
      <c r="I2" s="1069"/>
      <c r="J2" s="1069"/>
      <c r="K2" s="1069"/>
      <c r="L2" s="1069"/>
      <c r="M2" s="1069"/>
      <c r="N2" s="1069"/>
      <c r="O2" s="55"/>
      <c r="P2" s="55"/>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c r="B4" s="1069"/>
      <c r="C4" s="1069"/>
      <c r="D4" s="1069"/>
      <c r="E4" s="1069"/>
      <c r="F4" s="1069"/>
      <c r="G4" s="1069"/>
      <c r="H4" s="1069"/>
      <c r="I4" s="1069"/>
      <c r="J4" s="1069"/>
      <c r="K4" s="1069"/>
      <c r="L4" s="1069"/>
      <c r="M4" s="1069"/>
      <c r="N4" s="1069"/>
    </row>
    <row r="5" spans="1:18" s="29" customFormat="1" ht="15.75">
      <c r="A5" s="374" t="s">
        <v>387</v>
      </c>
      <c r="B5" s="375"/>
      <c r="C5" s="375"/>
      <c r="D5" s="375"/>
      <c r="E5" s="375"/>
      <c r="F5" s="375"/>
      <c r="G5" s="375"/>
      <c r="H5" s="375"/>
      <c r="I5" s="375"/>
      <c r="J5" s="375"/>
      <c r="K5" s="375"/>
      <c r="L5" s="375"/>
      <c r="M5" s="375"/>
      <c r="N5" s="376" t="s">
        <v>388</v>
      </c>
    </row>
    <row r="6" spans="1:18" ht="26.25" customHeight="1" thickBot="1">
      <c r="A6" s="1131" t="s">
        <v>136</v>
      </c>
      <c r="B6" s="1135" t="s">
        <v>438</v>
      </c>
      <c r="C6" s="1136"/>
      <c r="D6" s="1136"/>
      <c r="E6" s="1136"/>
      <c r="F6" s="1136"/>
      <c r="G6" s="1136"/>
      <c r="H6" s="1136"/>
      <c r="I6" s="1136"/>
      <c r="J6" s="1136"/>
      <c r="K6" s="1136"/>
      <c r="L6" s="1136"/>
      <c r="M6" s="1137"/>
      <c r="N6" s="1133" t="s">
        <v>134</v>
      </c>
    </row>
    <row r="7" spans="1:18" ht="42" customHeight="1">
      <c r="A7" s="1132" t="s">
        <v>110</v>
      </c>
      <c r="B7" s="330">
        <v>-20</v>
      </c>
      <c r="C7" s="330" t="s">
        <v>127</v>
      </c>
      <c r="D7" s="330" t="s">
        <v>126</v>
      </c>
      <c r="E7" s="330" t="s">
        <v>125</v>
      </c>
      <c r="F7" s="330" t="s">
        <v>124</v>
      </c>
      <c r="G7" s="330" t="s">
        <v>123</v>
      </c>
      <c r="H7" s="330" t="s">
        <v>122</v>
      </c>
      <c r="I7" s="330" t="s">
        <v>121</v>
      </c>
      <c r="J7" s="330" t="s">
        <v>120</v>
      </c>
      <c r="K7" s="330" t="s">
        <v>132</v>
      </c>
      <c r="L7" s="331" t="s">
        <v>594</v>
      </c>
      <c r="M7" s="324" t="s">
        <v>595</v>
      </c>
      <c r="N7" s="1134"/>
    </row>
    <row r="8" spans="1:18" ht="28.5" customHeight="1" thickBot="1">
      <c r="A8" s="784" t="s">
        <v>106</v>
      </c>
      <c r="B8" s="342">
        <v>202</v>
      </c>
      <c r="C8" s="342">
        <v>951</v>
      </c>
      <c r="D8" s="342">
        <v>638</v>
      </c>
      <c r="E8" s="342">
        <v>236</v>
      </c>
      <c r="F8" s="342">
        <v>131</v>
      </c>
      <c r="G8" s="342">
        <v>66</v>
      </c>
      <c r="H8" s="342">
        <v>36</v>
      </c>
      <c r="I8" s="342">
        <v>11</v>
      </c>
      <c r="J8" s="342">
        <v>4</v>
      </c>
      <c r="K8" s="342">
        <v>1</v>
      </c>
      <c r="L8" s="342">
        <v>0</v>
      </c>
      <c r="M8" s="343">
        <v>2276</v>
      </c>
      <c r="N8" s="456" t="s">
        <v>1091</v>
      </c>
    </row>
    <row r="9" spans="1:18" ht="28.5" customHeight="1" thickBot="1">
      <c r="A9" s="785" t="s">
        <v>105</v>
      </c>
      <c r="B9" s="344">
        <v>11</v>
      </c>
      <c r="C9" s="344">
        <v>47</v>
      </c>
      <c r="D9" s="344">
        <v>42</v>
      </c>
      <c r="E9" s="344">
        <v>28</v>
      </c>
      <c r="F9" s="344">
        <v>14</v>
      </c>
      <c r="G9" s="344">
        <v>5</v>
      </c>
      <c r="H9" s="344">
        <v>3</v>
      </c>
      <c r="I9" s="344">
        <v>0</v>
      </c>
      <c r="J9" s="344">
        <v>0</v>
      </c>
      <c r="K9" s="344">
        <v>0</v>
      </c>
      <c r="L9" s="344">
        <v>0</v>
      </c>
      <c r="M9" s="343">
        <v>150</v>
      </c>
      <c r="N9" s="457" t="s">
        <v>422</v>
      </c>
    </row>
    <row r="10" spans="1:18" ht="28.5" customHeight="1" thickBot="1">
      <c r="A10" s="785" t="s">
        <v>104</v>
      </c>
      <c r="B10" s="344">
        <v>59</v>
      </c>
      <c r="C10" s="344">
        <v>286</v>
      </c>
      <c r="D10" s="344">
        <v>353</v>
      </c>
      <c r="E10" s="344">
        <v>195</v>
      </c>
      <c r="F10" s="344">
        <v>128</v>
      </c>
      <c r="G10" s="344">
        <v>50</v>
      </c>
      <c r="H10" s="344">
        <v>19</v>
      </c>
      <c r="I10" s="344">
        <v>9</v>
      </c>
      <c r="J10" s="344">
        <v>1</v>
      </c>
      <c r="K10" s="344">
        <v>1</v>
      </c>
      <c r="L10" s="344">
        <v>0</v>
      </c>
      <c r="M10" s="343">
        <v>1101</v>
      </c>
      <c r="N10" s="457" t="s">
        <v>423</v>
      </c>
    </row>
    <row r="11" spans="1:18" ht="28.5" customHeight="1" thickBot="1">
      <c r="A11" s="43" t="s">
        <v>731</v>
      </c>
      <c r="B11" s="344">
        <v>61</v>
      </c>
      <c r="C11" s="344">
        <v>201</v>
      </c>
      <c r="D11" s="344">
        <v>195</v>
      </c>
      <c r="E11" s="344">
        <v>135</v>
      </c>
      <c r="F11" s="344">
        <v>61</v>
      </c>
      <c r="G11" s="344">
        <v>24</v>
      </c>
      <c r="H11" s="344">
        <v>7</v>
      </c>
      <c r="I11" s="344">
        <v>2</v>
      </c>
      <c r="J11" s="344">
        <v>0</v>
      </c>
      <c r="K11" s="344">
        <v>0</v>
      </c>
      <c r="L11" s="344">
        <v>0</v>
      </c>
      <c r="M11" s="343">
        <v>686</v>
      </c>
      <c r="N11" s="457" t="s">
        <v>424</v>
      </c>
    </row>
    <row r="12" spans="1:18" ht="28.5" customHeight="1" thickBot="1">
      <c r="A12" s="135" t="s">
        <v>732</v>
      </c>
      <c r="B12" s="344">
        <v>0</v>
      </c>
      <c r="C12" s="344">
        <v>13</v>
      </c>
      <c r="D12" s="344">
        <v>38</v>
      </c>
      <c r="E12" s="344">
        <v>24</v>
      </c>
      <c r="F12" s="344">
        <v>17</v>
      </c>
      <c r="G12" s="344">
        <v>3</v>
      </c>
      <c r="H12" s="344">
        <v>3</v>
      </c>
      <c r="I12" s="344">
        <v>0</v>
      </c>
      <c r="J12" s="344">
        <v>0</v>
      </c>
      <c r="K12" s="344">
        <v>1</v>
      </c>
      <c r="L12" s="344">
        <v>0</v>
      </c>
      <c r="M12" s="343">
        <v>99</v>
      </c>
      <c r="N12" s="457" t="s">
        <v>1092</v>
      </c>
    </row>
    <row r="13" spans="1:18" ht="28.5" customHeight="1">
      <c r="A13" s="40" t="s">
        <v>1093</v>
      </c>
      <c r="B13" s="345">
        <v>5</v>
      </c>
      <c r="C13" s="345">
        <v>13</v>
      </c>
      <c r="D13" s="345">
        <v>25</v>
      </c>
      <c r="E13" s="345">
        <v>18</v>
      </c>
      <c r="F13" s="345">
        <v>8</v>
      </c>
      <c r="G13" s="345">
        <v>4</v>
      </c>
      <c r="H13" s="345">
        <v>2</v>
      </c>
      <c r="I13" s="345">
        <v>1</v>
      </c>
      <c r="J13" s="345">
        <v>2</v>
      </c>
      <c r="K13" s="345">
        <v>0</v>
      </c>
      <c r="L13" s="345">
        <v>0</v>
      </c>
      <c r="M13" s="441">
        <v>78</v>
      </c>
      <c r="N13" s="458" t="s">
        <v>425</v>
      </c>
    </row>
    <row r="14" spans="1:18" ht="28.5" customHeight="1">
      <c r="A14" s="974" t="s">
        <v>16</v>
      </c>
      <c r="B14" s="971">
        <f>SUBTOTAL(109,Table_Default__XLS_TAB_10[AGE_LEVEL_LESS_20])</f>
        <v>338</v>
      </c>
      <c r="C14" s="971">
        <f>SUBTOTAL(109,Table_Default__XLS_TAB_10[AGE_LEVEL_20_24])</f>
        <v>1511</v>
      </c>
      <c r="D14" s="971">
        <f>SUBTOTAL(109,Table_Default__XLS_TAB_10[AGE_LEVEL_25_29])</f>
        <v>1291</v>
      </c>
      <c r="E14" s="971">
        <f>SUBTOTAL(109,Table_Default__XLS_TAB_10[AGE_LEVEL_30_34])</f>
        <v>636</v>
      </c>
      <c r="F14" s="971">
        <f>SUBTOTAL(109,Table_Default__XLS_TAB_10[AGE_LEVEL_35_39])</f>
        <v>359</v>
      </c>
      <c r="G14" s="971">
        <f>SUBTOTAL(109,Table_Default__XLS_TAB_10[AGE_LEVEL_40_44])</f>
        <v>152</v>
      </c>
      <c r="H14" s="971">
        <f>SUBTOTAL(109,Table_Default__XLS_TAB_10[AGE_LEVEL_45_49])</f>
        <v>70</v>
      </c>
      <c r="I14" s="971">
        <f>SUBTOTAL(109,Table_Default__XLS_TAB_10[AGE_LEVEL_50_54])</f>
        <v>23</v>
      </c>
      <c r="J14" s="971">
        <f>SUBTOTAL(109,Table_Default__XLS_TAB_10[AGE_LEVEL_55_59])</f>
        <v>7</v>
      </c>
      <c r="K14" s="971">
        <f>SUBTOTAL(109,Table_Default__XLS_TAB_10[AGE_LEVEL_UP_60])</f>
        <v>3</v>
      </c>
      <c r="L14" s="971">
        <f>SUBTOTAL(109,Table_Default__XLS_TAB_10[AGE_LEVEL_NOT_STATED])</f>
        <v>0</v>
      </c>
      <c r="M14" s="971">
        <f>SUBTOTAL(109,Table_Default__XLS_TAB_10[TOTAL])</f>
        <v>4390</v>
      </c>
      <c r="N14" s="973" t="s">
        <v>55</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3"/>
  <sheetViews>
    <sheetView rightToLeft="1" view="pageBreakPreview" topLeftCell="A7" zoomScaleNormal="100" zoomScaleSheetLayoutView="100" workbookViewId="0">
      <selection activeCell="M27" sqref="M27"/>
    </sheetView>
  </sheetViews>
  <sheetFormatPr defaultColWidth="9.140625" defaultRowHeight="12.75"/>
  <cols>
    <col min="1" max="1" width="24.285156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4.28515625" style="1" customWidth="1"/>
    <col min="15" max="16384" width="9.140625" style="1"/>
  </cols>
  <sheetData>
    <row r="1" spans="1:18" s="2" customFormat="1" ht="21.75" customHeight="1">
      <c r="A1" s="1041" t="s">
        <v>143</v>
      </c>
      <c r="B1" s="1041"/>
      <c r="C1" s="1041"/>
      <c r="D1" s="1041"/>
      <c r="E1" s="1041"/>
      <c r="F1" s="1041"/>
      <c r="G1" s="1041"/>
      <c r="H1" s="1041"/>
      <c r="I1" s="1041"/>
      <c r="J1" s="1041"/>
      <c r="K1" s="1041"/>
      <c r="L1" s="1041"/>
      <c r="M1" s="1041"/>
      <c r="N1" s="1041"/>
    </row>
    <row r="2" spans="1:18" s="2" customFormat="1" ht="15.75">
      <c r="A2" s="1068" t="s">
        <v>142</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t="s">
        <v>52</v>
      </c>
      <c r="B4" s="1069"/>
      <c r="C4" s="1069"/>
      <c r="D4" s="1069"/>
      <c r="E4" s="1069"/>
      <c r="F4" s="1069"/>
      <c r="G4" s="1069"/>
      <c r="H4" s="1069"/>
      <c r="I4" s="1069"/>
      <c r="J4" s="1069"/>
      <c r="K4" s="1069"/>
      <c r="L4" s="1069"/>
      <c r="M4" s="1069"/>
      <c r="N4" s="1069"/>
    </row>
    <row r="5" spans="1:18" s="2" customFormat="1" ht="15.75">
      <c r="A5" s="362"/>
      <c r="B5" s="362"/>
      <c r="C5" s="362"/>
      <c r="D5" s="362"/>
      <c r="E5" s="362"/>
      <c r="F5" s="362"/>
      <c r="G5" s="362"/>
      <c r="H5" s="362"/>
      <c r="I5" s="362"/>
      <c r="J5" s="362"/>
      <c r="K5" s="362"/>
      <c r="L5" s="362"/>
      <c r="M5" s="362"/>
      <c r="N5" s="362"/>
    </row>
    <row r="6" spans="1:18" s="29" customFormat="1" ht="15.75">
      <c r="A6" s="374" t="s">
        <v>148</v>
      </c>
      <c r="B6" s="375"/>
      <c r="C6" s="375"/>
      <c r="D6" s="375"/>
      <c r="E6" s="375"/>
      <c r="F6" s="375"/>
      <c r="G6" s="375"/>
      <c r="H6" s="375"/>
      <c r="I6" s="375"/>
      <c r="J6" s="375"/>
      <c r="K6" s="375"/>
      <c r="L6" s="375"/>
      <c r="M6" s="375"/>
      <c r="N6" s="376" t="s">
        <v>147</v>
      </c>
    </row>
    <row r="7" spans="1:18" ht="26.25" customHeight="1" thickBot="1">
      <c r="A7" s="1131" t="s">
        <v>141</v>
      </c>
      <c r="B7" s="1119" t="s">
        <v>135</v>
      </c>
      <c r="C7" s="1119"/>
      <c r="D7" s="1119"/>
      <c r="E7" s="1119"/>
      <c r="F7" s="1119"/>
      <c r="G7" s="1119"/>
      <c r="H7" s="1119"/>
      <c r="I7" s="1119"/>
      <c r="J7" s="1119"/>
      <c r="K7" s="1119"/>
      <c r="L7" s="1119"/>
      <c r="M7" s="1119"/>
      <c r="N7" s="1138" t="s">
        <v>1075</v>
      </c>
    </row>
    <row r="8" spans="1:18" ht="39.75" customHeight="1">
      <c r="A8" s="1132"/>
      <c r="B8" s="330">
        <v>-20</v>
      </c>
      <c r="C8" s="330" t="s">
        <v>127</v>
      </c>
      <c r="D8" s="330" t="s">
        <v>126</v>
      </c>
      <c r="E8" s="330" t="s">
        <v>125</v>
      </c>
      <c r="F8" s="330" t="s">
        <v>124</v>
      </c>
      <c r="G8" s="330" t="s">
        <v>123</v>
      </c>
      <c r="H8" s="330" t="s">
        <v>122</v>
      </c>
      <c r="I8" s="330" t="s">
        <v>121</v>
      </c>
      <c r="J8" s="330" t="s">
        <v>120</v>
      </c>
      <c r="K8" s="330" t="s">
        <v>132</v>
      </c>
      <c r="L8" s="331" t="s">
        <v>594</v>
      </c>
      <c r="M8" s="536" t="s">
        <v>595</v>
      </c>
      <c r="N8" s="1139"/>
    </row>
    <row r="9" spans="1:18" ht="18.75" customHeight="1" thickBot="1">
      <c r="A9" s="146" t="s">
        <v>426</v>
      </c>
      <c r="B9" s="342">
        <v>19</v>
      </c>
      <c r="C9" s="342">
        <v>7</v>
      </c>
      <c r="D9" s="342">
        <v>1</v>
      </c>
      <c r="E9" s="342">
        <v>0</v>
      </c>
      <c r="F9" s="342">
        <v>0</v>
      </c>
      <c r="G9" s="342">
        <v>0</v>
      </c>
      <c r="H9" s="342">
        <v>0</v>
      </c>
      <c r="I9" s="342">
        <v>0</v>
      </c>
      <c r="J9" s="342">
        <v>0</v>
      </c>
      <c r="K9" s="342">
        <v>0</v>
      </c>
      <c r="L9" s="342">
        <v>0</v>
      </c>
      <c r="M9" s="343">
        <v>27</v>
      </c>
      <c r="N9" s="144" t="s">
        <v>426</v>
      </c>
    </row>
    <row r="10" spans="1:18" ht="18.75" customHeight="1" thickBot="1">
      <c r="A10" s="147" t="s">
        <v>127</v>
      </c>
      <c r="B10" s="344">
        <v>113</v>
      </c>
      <c r="C10" s="344">
        <v>350</v>
      </c>
      <c r="D10" s="344">
        <v>52</v>
      </c>
      <c r="E10" s="344">
        <v>4</v>
      </c>
      <c r="F10" s="344">
        <v>2</v>
      </c>
      <c r="G10" s="344">
        <v>0</v>
      </c>
      <c r="H10" s="344">
        <v>1</v>
      </c>
      <c r="I10" s="344">
        <v>1</v>
      </c>
      <c r="J10" s="344">
        <v>0</v>
      </c>
      <c r="K10" s="344">
        <v>0</v>
      </c>
      <c r="L10" s="344">
        <v>0</v>
      </c>
      <c r="M10" s="343">
        <v>523</v>
      </c>
      <c r="N10" s="145" t="s">
        <v>127</v>
      </c>
    </row>
    <row r="11" spans="1:18" ht="18.75" customHeight="1" thickBot="1">
      <c r="A11" s="147" t="s">
        <v>126</v>
      </c>
      <c r="B11" s="344">
        <v>68</v>
      </c>
      <c r="C11" s="344">
        <v>530</v>
      </c>
      <c r="D11" s="344">
        <v>383</v>
      </c>
      <c r="E11" s="344">
        <v>31</v>
      </c>
      <c r="F11" s="344">
        <v>6</v>
      </c>
      <c r="G11" s="344">
        <v>2</v>
      </c>
      <c r="H11" s="344">
        <v>1</v>
      </c>
      <c r="I11" s="344">
        <v>0</v>
      </c>
      <c r="J11" s="344">
        <v>0</v>
      </c>
      <c r="K11" s="344">
        <v>0</v>
      </c>
      <c r="L11" s="344">
        <v>0</v>
      </c>
      <c r="M11" s="343">
        <v>1021</v>
      </c>
      <c r="N11" s="145" t="s">
        <v>126</v>
      </c>
    </row>
    <row r="12" spans="1:18" ht="18.75" customHeight="1" thickBot="1">
      <c r="A12" s="147" t="s">
        <v>125</v>
      </c>
      <c r="B12" s="344">
        <v>6</v>
      </c>
      <c r="C12" s="344">
        <v>106</v>
      </c>
      <c r="D12" s="344">
        <v>179</v>
      </c>
      <c r="E12" s="344">
        <v>105</v>
      </c>
      <c r="F12" s="344">
        <v>13</v>
      </c>
      <c r="G12" s="344">
        <v>6</v>
      </c>
      <c r="H12" s="344">
        <v>0</v>
      </c>
      <c r="I12" s="344">
        <v>1</v>
      </c>
      <c r="J12" s="344">
        <v>0</v>
      </c>
      <c r="K12" s="344">
        <v>0</v>
      </c>
      <c r="L12" s="344">
        <v>0</v>
      </c>
      <c r="M12" s="343">
        <v>416</v>
      </c>
      <c r="N12" s="145" t="s">
        <v>125</v>
      </c>
    </row>
    <row r="13" spans="1:18" ht="18.75" customHeight="1" thickBot="1">
      <c r="A13" s="147" t="s">
        <v>124</v>
      </c>
      <c r="B13" s="344">
        <v>0</v>
      </c>
      <c r="C13" s="344">
        <v>10</v>
      </c>
      <c r="D13" s="344">
        <v>47</v>
      </c>
      <c r="E13" s="344">
        <v>56</v>
      </c>
      <c r="F13" s="344">
        <v>43</v>
      </c>
      <c r="G13" s="344">
        <v>6</v>
      </c>
      <c r="H13" s="344">
        <v>1</v>
      </c>
      <c r="I13" s="344">
        <v>1</v>
      </c>
      <c r="J13" s="344">
        <v>1</v>
      </c>
      <c r="K13" s="344">
        <v>0</v>
      </c>
      <c r="L13" s="344">
        <v>0</v>
      </c>
      <c r="M13" s="343">
        <v>165</v>
      </c>
      <c r="N13" s="145" t="s">
        <v>124</v>
      </c>
    </row>
    <row r="14" spans="1:18" ht="18.75" customHeight="1" thickBot="1">
      <c r="A14" s="147" t="s">
        <v>123</v>
      </c>
      <c r="B14" s="344">
        <v>1</v>
      </c>
      <c r="C14" s="344">
        <v>1</v>
      </c>
      <c r="D14" s="344">
        <v>14</v>
      </c>
      <c r="E14" s="344">
        <v>37</v>
      </c>
      <c r="F14" s="344">
        <v>31</v>
      </c>
      <c r="G14" s="344">
        <v>21</v>
      </c>
      <c r="H14" s="344">
        <v>3</v>
      </c>
      <c r="I14" s="344">
        <v>0</v>
      </c>
      <c r="J14" s="344">
        <v>1</v>
      </c>
      <c r="K14" s="344">
        <v>0</v>
      </c>
      <c r="L14" s="344">
        <v>0</v>
      </c>
      <c r="M14" s="343">
        <v>109</v>
      </c>
      <c r="N14" s="145" t="s">
        <v>123</v>
      </c>
    </row>
    <row r="15" spans="1:18" ht="18.75" customHeight="1" thickBot="1">
      <c r="A15" s="147" t="s">
        <v>122</v>
      </c>
      <c r="B15" s="344">
        <v>0</v>
      </c>
      <c r="C15" s="344">
        <v>2</v>
      </c>
      <c r="D15" s="344">
        <v>2</v>
      </c>
      <c r="E15" s="344">
        <v>11</v>
      </c>
      <c r="F15" s="344">
        <v>27</v>
      </c>
      <c r="G15" s="344">
        <v>14</v>
      </c>
      <c r="H15" s="344">
        <v>8</v>
      </c>
      <c r="I15" s="344">
        <v>3</v>
      </c>
      <c r="J15" s="344">
        <v>0</v>
      </c>
      <c r="K15" s="344">
        <v>0</v>
      </c>
      <c r="L15" s="344">
        <v>0</v>
      </c>
      <c r="M15" s="343">
        <v>67</v>
      </c>
      <c r="N15" s="145" t="s">
        <v>122</v>
      </c>
    </row>
    <row r="16" spans="1:18" ht="18.75" customHeight="1" thickBot="1">
      <c r="A16" s="147" t="s">
        <v>121</v>
      </c>
      <c r="B16" s="344">
        <v>0</v>
      </c>
      <c r="C16" s="344">
        <v>0</v>
      </c>
      <c r="D16" s="344">
        <v>6</v>
      </c>
      <c r="E16" s="344">
        <v>6</v>
      </c>
      <c r="F16" s="344">
        <v>13</v>
      </c>
      <c r="G16" s="344">
        <v>13</v>
      </c>
      <c r="H16" s="344">
        <v>10</v>
      </c>
      <c r="I16" s="344">
        <v>0</v>
      </c>
      <c r="J16" s="344">
        <v>0</v>
      </c>
      <c r="K16" s="344">
        <v>0</v>
      </c>
      <c r="L16" s="344">
        <v>0</v>
      </c>
      <c r="M16" s="343">
        <v>48</v>
      </c>
      <c r="N16" s="145" t="s">
        <v>121</v>
      </c>
    </row>
    <row r="17" spans="1:14" ht="18.75" customHeight="1" thickBot="1">
      <c r="A17" s="147" t="s">
        <v>120</v>
      </c>
      <c r="B17" s="344">
        <v>0</v>
      </c>
      <c r="C17" s="344">
        <v>1</v>
      </c>
      <c r="D17" s="344">
        <v>2</v>
      </c>
      <c r="E17" s="344">
        <v>2</v>
      </c>
      <c r="F17" s="344">
        <v>9</v>
      </c>
      <c r="G17" s="344">
        <v>7</v>
      </c>
      <c r="H17" s="344">
        <v>7</v>
      </c>
      <c r="I17" s="344">
        <v>2</v>
      </c>
      <c r="J17" s="344">
        <v>2</v>
      </c>
      <c r="K17" s="344">
        <v>0</v>
      </c>
      <c r="L17" s="344">
        <v>0</v>
      </c>
      <c r="M17" s="343">
        <v>32</v>
      </c>
      <c r="N17" s="145" t="s">
        <v>120</v>
      </c>
    </row>
    <row r="18" spans="1:14" ht="18.75" customHeight="1" thickBot="1">
      <c r="A18" s="147" t="s">
        <v>119</v>
      </c>
      <c r="B18" s="344">
        <v>0</v>
      </c>
      <c r="C18" s="344">
        <v>0</v>
      </c>
      <c r="D18" s="344">
        <v>1</v>
      </c>
      <c r="E18" s="344">
        <v>1</v>
      </c>
      <c r="F18" s="344">
        <v>3</v>
      </c>
      <c r="G18" s="344">
        <v>2</v>
      </c>
      <c r="H18" s="344">
        <v>2</v>
      </c>
      <c r="I18" s="344">
        <v>2</v>
      </c>
      <c r="J18" s="344">
        <v>1</v>
      </c>
      <c r="K18" s="344">
        <v>0</v>
      </c>
      <c r="L18" s="344">
        <v>0</v>
      </c>
      <c r="M18" s="343">
        <v>12</v>
      </c>
      <c r="N18" s="145" t="s">
        <v>119</v>
      </c>
    </row>
    <row r="19" spans="1:14" ht="18.75" customHeight="1" thickBot="1">
      <c r="A19" s="147" t="s">
        <v>118</v>
      </c>
      <c r="B19" s="344">
        <v>0</v>
      </c>
      <c r="C19" s="344">
        <v>0</v>
      </c>
      <c r="D19" s="344">
        <v>0</v>
      </c>
      <c r="E19" s="344">
        <v>0</v>
      </c>
      <c r="F19" s="344">
        <v>4</v>
      </c>
      <c r="G19" s="344">
        <v>1</v>
      </c>
      <c r="H19" s="344">
        <v>1</v>
      </c>
      <c r="I19" s="344">
        <v>1</v>
      </c>
      <c r="J19" s="344">
        <v>0</v>
      </c>
      <c r="K19" s="344">
        <v>0</v>
      </c>
      <c r="L19" s="344">
        <v>0</v>
      </c>
      <c r="M19" s="343">
        <v>7</v>
      </c>
      <c r="N19" s="145" t="s">
        <v>118</v>
      </c>
    </row>
    <row r="20" spans="1:14" ht="18.75" customHeight="1" thickBot="1">
      <c r="A20" s="147" t="s">
        <v>117</v>
      </c>
      <c r="B20" s="344">
        <v>0</v>
      </c>
      <c r="C20" s="344">
        <v>0</v>
      </c>
      <c r="D20" s="344">
        <v>0</v>
      </c>
      <c r="E20" s="344">
        <v>0</v>
      </c>
      <c r="F20" s="344">
        <v>0</v>
      </c>
      <c r="G20" s="344">
        <v>0</v>
      </c>
      <c r="H20" s="344">
        <v>0</v>
      </c>
      <c r="I20" s="344">
        <v>0</v>
      </c>
      <c r="J20" s="344">
        <v>0</v>
      </c>
      <c r="K20" s="344">
        <v>0</v>
      </c>
      <c r="L20" s="344">
        <v>0</v>
      </c>
      <c r="M20" s="343">
        <v>0</v>
      </c>
      <c r="N20" s="145" t="s">
        <v>117</v>
      </c>
    </row>
    <row r="21" spans="1:14" ht="18.75" customHeight="1" thickBot="1">
      <c r="A21" s="147" t="s">
        <v>116</v>
      </c>
      <c r="B21" s="344">
        <v>0</v>
      </c>
      <c r="C21" s="344">
        <v>0</v>
      </c>
      <c r="D21" s="344">
        <v>0</v>
      </c>
      <c r="E21" s="344">
        <v>0</v>
      </c>
      <c r="F21" s="344">
        <v>0</v>
      </c>
      <c r="G21" s="344">
        <v>1</v>
      </c>
      <c r="H21" s="344">
        <v>0</v>
      </c>
      <c r="I21" s="344">
        <v>0</v>
      </c>
      <c r="J21" s="344">
        <v>0</v>
      </c>
      <c r="K21" s="344">
        <v>0</v>
      </c>
      <c r="L21" s="344">
        <v>0</v>
      </c>
      <c r="M21" s="343">
        <v>1</v>
      </c>
      <c r="N21" s="145" t="s">
        <v>116</v>
      </c>
    </row>
    <row r="22" spans="1:14" ht="18.75" customHeight="1">
      <c r="A22" s="148" t="s">
        <v>14</v>
      </c>
      <c r="B22" s="345">
        <v>0</v>
      </c>
      <c r="C22" s="345">
        <v>0</v>
      </c>
      <c r="D22" s="345">
        <v>1</v>
      </c>
      <c r="E22" s="345">
        <v>0</v>
      </c>
      <c r="F22" s="345">
        <v>0</v>
      </c>
      <c r="G22" s="345">
        <v>0</v>
      </c>
      <c r="H22" s="345">
        <v>0</v>
      </c>
      <c r="I22" s="345">
        <v>0</v>
      </c>
      <c r="J22" s="345">
        <v>0</v>
      </c>
      <c r="K22" s="345">
        <v>0</v>
      </c>
      <c r="L22" s="345">
        <v>0</v>
      </c>
      <c r="M22" s="441">
        <v>1</v>
      </c>
      <c r="N22" s="149" t="s">
        <v>15</v>
      </c>
    </row>
    <row r="23" spans="1:14" ht="18.75" customHeight="1">
      <c r="A23" s="975" t="s">
        <v>16</v>
      </c>
      <c r="B23" s="971">
        <f>SUBTOTAL(109,Table_Default__XLS_TAB_11_1[AGE_LEVEL_LESS_20])</f>
        <v>207</v>
      </c>
      <c r="C23" s="971">
        <f>SUBTOTAL(109,Table_Default__XLS_TAB_11_1[AGE_LEVEL_20_24])</f>
        <v>1007</v>
      </c>
      <c r="D23" s="971">
        <f>SUBTOTAL(109,Table_Default__XLS_TAB_11_1[AGE_LEVEL_25_29])</f>
        <v>688</v>
      </c>
      <c r="E23" s="971">
        <f>SUBTOTAL(109,Table_Default__XLS_TAB_11_1[AGE_LEVEL_30_34])</f>
        <v>253</v>
      </c>
      <c r="F23" s="971">
        <f>SUBTOTAL(109,Table_Default__XLS_TAB_11_1[AGE_LEVEL_35_39])</f>
        <v>151</v>
      </c>
      <c r="G23" s="971">
        <f>SUBTOTAL(109,Table_Default__XLS_TAB_11_1[AGE_LEVEL_40_44])</f>
        <v>73</v>
      </c>
      <c r="H23" s="971">
        <f>SUBTOTAL(109,Table_Default__XLS_TAB_11_1[AGE_LEVEL_45_49])</f>
        <v>34</v>
      </c>
      <c r="I23" s="971">
        <f>SUBTOTAL(109,Table_Default__XLS_TAB_11_1[AGE_LEVEL_50_54])</f>
        <v>11</v>
      </c>
      <c r="J23" s="971">
        <f>SUBTOTAL(109,Table_Default__XLS_TAB_11_1[AGE_LEVEL_55_59])</f>
        <v>5</v>
      </c>
      <c r="K23" s="971">
        <f>SUBTOTAL(109,Table_Default__XLS_TAB_11_1[AGE_LEVEL_UP_60])</f>
        <v>0</v>
      </c>
      <c r="L23" s="971">
        <f>SUBTOTAL(109,Table_Default__XLS_TAB_11_1[AGE_LEVEL_NOT_STATED])</f>
        <v>0</v>
      </c>
      <c r="M23" s="971">
        <f>SUBTOTAL(109,Table_Default__XLS_TAB_11_1[TOTAL])</f>
        <v>2429</v>
      </c>
      <c r="N23" s="976"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23"/>
  <sheetViews>
    <sheetView rightToLeft="1" view="pageBreakPreview" topLeftCell="A7" zoomScaleNormal="100" zoomScaleSheetLayoutView="100" workbookViewId="0">
      <selection activeCell="M23" sqref="M23"/>
    </sheetView>
  </sheetViews>
  <sheetFormatPr defaultColWidth="9.140625" defaultRowHeight="12.75"/>
  <cols>
    <col min="1" max="1" width="24.285156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4.28515625" style="1" customWidth="1"/>
    <col min="15" max="16384" width="9.140625" style="1"/>
  </cols>
  <sheetData>
    <row r="1" spans="1:18" s="2" customFormat="1" ht="21.75" customHeight="1">
      <c r="A1" s="1041" t="s">
        <v>143</v>
      </c>
      <c r="B1" s="1041"/>
      <c r="C1" s="1041"/>
      <c r="D1" s="1041"/>
      <c r="E1" s="1041"/>
      <c r="F1" s="1041"/>
      <c r="G1" s="1041"/>
      <c r="H1" s="1041"/>
      <c r="I1" s="1041"/>
      <c r="J1" s="1041"/>
      <c r="K1" s="1041"/>
      <c r="L1" s="1041"/>
      <c r="M1" s="1041"/>
      <c r="N1" s="1041"/>
    </row>
    <row r="2" spans="1:18" s="2" customFormat="1" ht="15.75">
      <c r="A2" s="1068" t="s">
        <v>142</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t="s">
        <v>51</v>
      </c>
      <c r="B4" s="1069"/>
      <c r="C4" s="1069"/>
      <c r="D4" s="1069"/>
      <c r="E4" s="1069"/>
      <c r="F4" s="1069"/>
      <c r="G4" s="1069"/>
      <c r="H4" s="1069"/>
      <c r="I4" s="1069"/>
      <c r="J4" s="1069"/>
      <c r="K4" s="1069"/>
      <c r="L4" s="1069"/>
      <c r="M4" s="1069"/>
      <c r="N4" s="1069"/>
    </row>
    <row r="5" spans="1:18" s="2" customFormat="1" ht="15.75">
      <c r="A5" s="362"/>
      <c r="B5" s="362"/>
      <c r="C5" s="362"/>
      <c r="D5" s="362"/>
      <c r="E5" s="362"/>
      <c r="F5" s="362"/>
      <c r="G5" s="362"/>
      <c r="H5" s="362"/>
      <c r="I5" s="362"/>
      <c r="J5" s="362"/>
      <c r="K5" s="362"/>
      <c r="L5" s="362"/>
      <c r="M5" s="362"/>
      <c r="N5" s="362"/>
    </row>
    <row r="6" spans="1:18" s="29" customFormat="1" ht="15.75">
      <c r="A6" s="374" t="s">
        <v>152</v>
      </c>
      <c r="B6" s="375"/>
      <c r="C6" s="375"/>
      <c r="D6" s="375"/>
      <c r="E6" s="375"/>
      <c r="F6" s="375"/>
      <c r="G6" s="375"/>
      <c r="H6" s="375"/>
      <c r="I6" s="375"/>
      <c r="J6" s="375"/>
      <c r="K6" s="375"/>
      <c r="L6" s="375"/>
      <c r="M6" s="375"/>
      <c r="N6" s="376" t="s">
        <v>151</v>
      </c>
    </row>
    <row r="7" spans="1:18" ht="26.25" customHeight="1" thickBot="1">
      <c r="A7" s="1131" t="s">
        <v>141</v>
      </c>
      <c r="B7" s="1119" t="s">
        <v>135</v>
      </c>
      <c r="C7" s="1119"/>
      <c r="D7" s="1119"/>
      <c r="E7" s="1119"/>
      <c r="F7" s="1119"/>
      <c r="G7" s="1119"/>
      <c r="H7" s="1119"/>
      <c r="I7" s="1119"/>
      <c r="J7" s="1119"/>
      <c r="K7" s="1119"/>
      <c r="L7" s="1119"/>
      <c r="M7" s="1119"/>
      <c r="N7" s="1138" t="s">
        <v>1075</v>
      </c>
    </row>
    <row r="8" spans="1:18" ht="39.75" customHeight="1">
      <c r="A8" s="1140"/>
      <c r="B8" s="323">
        <v>-20</v>
      </c>
      <c r="C8" s="323" t="s">
        <v>127</v>
      </c>
      <c r="D8" s="323" t="s">
        <v>126</v>
      </c>
      <c r="E8" s="323" t="s">
        <v>125</v>
      </c>
      <c r="F8" s="323" t="s">
        <v>124</v>
      </c>
      <c r="G8" s="323" t="s">
        <v>123</v>
      </c>
      <c r="H8" s="323" t="s">
        <v>122</v>
      </c>
      <c r="I8" s="323" t="s">
        <v>121</v>
      </c>
      <c r="J8" s="323" t="s">
        <v>120</v>
      </c>
      <c r="K8" s="323" t="s">
        <v>132</v>
      </c>
      <c r="L8" s="332" t="s">
        <v>594</v>
      </c>
      <c r="M8" s="329" t="s">
        <v>595</v>
      </c>
      <c r="N8" s="1141"/>
    </row>
    <row r="9" spans="1:18" ht="18.75" customHeight="1" thickBot="1">
      <c r="A9" s="146" t="s">
        <v>426</v>
      </c>
      <c r="B9" s="342">
        <v>9</v>
      </c>
      <c r="C9" s="342">
        <v>2</v>
      </c>
      <c r="D9" s="342">
        <v>1</v>
      </c>
      <c r="E9" s="342">
        <v>0</v>
      </c>
      <c r="F9" s="342">
        <v>0</v>
      </c>
      <c r="G9" s="342">
        <v>0</v>
      </c>
      <c r="H9" s="342">
        <v>0</v>
      </c>
      <c r="I9" s="342">
        <v>0</v>
      </c>
      <c r="J9" s="342">
        <v>0</v>
      </c>
      <c r="K9" s="342">
        <v>0</v>
      </c>
      <c r="L9" s="342">
        <v>0</v>
      </c>
      <c r="M9" s="343">
        <v>12</v>
      </c>
      <c r="N9" s="144" t="s">
        <v>426</v>
      </c>
    </row>
    <row r="10" spans="1:18" ht="18.75" customHeight="1" thickBot="1">
      <c r="A10" s="147" t="s">
        <v>127</v>
      </c>
      <c r="B10" s="344">
        <v>55</v>
      </c>
      <c r="C10" s="344">
        <v>118</v>
      </c>
      <c r="D10" s="344">
        <v>27</v>
      </c>
      <c r="E10" s="344">
        <v>8</v>
      </c>
      <c r="F10" s="344">
        <v>4</v>
      </c>
      <c r="G10" s="344">
        <v>2</v>
      </c>
      <c r="H10" s="344">
        <v>0</v>
      </c>
      <c r="I10" s="344">
        <v>0</v>
      </c>
      <c r="J10" s="344">
        <v>0</v>
      </c>
      <c r="K10" s="344">
        <v>0</v>
      </c>
      <c r="L10" s="344">
        <v>0</v>
      </c>
      <c r="M10" s="343">
        <v>214</v>
      </c>
      <c r="N10" s="145" t="s">
        <v>127</v>
      </c>
    </row>
    <row r="11" spans="1:18" ht="18.75" customHeight="1" thickBot="1">
      <c r="A11" s="147" t="s">
        <v>126</v>
      </c>
      <c r="B11" s="344">
        <v>52</v>
      </c>
      <c r="C11" s="344">
        <v>250</v>
      </c>
      <c r="D11" s="344">
        <v>262</v>
      </c>
      <c r="E11" s="344">
        <v>46</v>
      </c>
      <c r="F11" s="344">
        <v>20</v>
      </c>
      <c r="G11" s="344">
        <v>3</v>
      </c>
      <c r="H11" s="344">
        <v>2</v>
      </c>
      <c r="I11" s="344">
        <v>0</v>
      </c>
      <c r="J11" s="344">
        <v>0</v>
      </c>
      <c r="K11" s="344">
        <v>0</v>
      </c>
      <c r="L11" s="344">
        <v>0</v>
      </c>
      <c r="M11" s="343">
        <v>635</v>
      </c>
      <c r="N11" s="145" t="s">
        <v>126</v>
      </c>
    </row>
    <row r="12" spans="1:18" ht="18.75" customHeight="1" thickBot="1">
      <c r="A12" s="147" t="s">
        <v>125</v>
      </c>
      <c r="B12" s="344">
        <v>11</v>
      </c>
      <c r="C12" s="344">
        <v>103</v>
      </c>
      <c r="D12" s="344">
        <v>219</v>
      </c>
      <c r="E12" s="344">
        <v>168</v>
      </c>
      <c r="F12" s="344">
        <v>38</v>
      </c>
      <c r="G12" s="344">
        <v>9</v>
      </c>
      <c r="H12" s="344">
        <v>1</v>
      </c>
      <c r="I12" s="344">
        <v>1</v>
      </c>
      <c r="J12" s="344">
        <v>1</v>
      </c>
      <c r="K12" s="344">
        <v>0</v>
      </c>
      <c r="L12" s="344">
        <v>0</v>
      </c>
      <c r="M12" s="343">
        <v>551</v>
      </c>
      <c r="N12" s="145" t="s">
        <v>125</v>
      </c>
    </row>
    <row r="13" spans="1:18" ht="18.75" customHeight="1" thickBot="1">
      <c r="A13" s="147" t="s">
        <v>124</v>
      </c>
      <c r="B13" s="344">
        <v>4</v>
      </c>
      <c r="C13" s="344">
        <v>24</v>
      </c>
      <c r="D13" s="344">
        <v>63</v>
      </c>
      <c r="E13" s="344">
        <v>88</v>
      </c>
      <c r="F13" s="344">
        <v>58</v>
      </c>
      <c r="G13" s="344">
        <v>15</v>
      </c>
      <c r="H13" s="344">
        <v>5</v>
      </c>
      <c r="I13" s="344">
        <v>0</v>
      </c>
      <c r="J13" s="344">
        <v>0</v>
      </c>
      <c r="K13" s="344">
        <v>0</v>
      </c>
      <c r="L13" s="344">
        <v>0</v>
      </c>
      <c r="M13" s="343">
        <v>257</v>
      </c>
      <c r="N13" s="145" t="s">
        <v>124</v>
      </c>
    </row>
    <row r="14" spans="1:18" ht="18.75" customHeight="1" thickBot="1">
      <c r="A14" s="147" t="s">
        <v>123</v>
      </c>
      <c r="B14" s="344">
        <v>0</v>
      </c>
      <c r="C14" s="344">
        <v>6</v>
      </c>
      <c r="D14" s="344">
        <v>18</v>
      </c>
      <c r="E14" s="344">
        <v>43</v>
      </c>
      <c r="F14" s="344">
        <v>52</v>
      </c>
      <c r="G14" s="344">
        <v>21</v>
      </c>
      <c r="H14" s="344">
        <v>6</v>
      </c>
      <c r="I14" s="344">
        <v>2</v>
      </c>
      <c r="J14" s="344">
        <v>0</v>
      </c>
      <c r="K14" s="344">
        <v>1</v>
      </c>
      <c r="L14" s="344">
        <v>0</v>
      </c>
      <c r="M14" s="343">
        <v>149</v>
      </c>
      <c r="N14" s="145" t="s">
        <v>123</v>
      </c>
    </row>
    <row r="15" spans="1:18" ht="18.75" customHeight="1" thickBot="1">
      <c r="A15" s="147" t="s">
        <v>122</v>
      </c>
      <c r="B15" s="344">
        <v>0</v>
      </c>
      <c r="C15" s="344">
        <v>0</v>
      </c>
      <c r="D15" s="344">
        <v>7</v>
      </c>
      <c r="E15" s="344">
        <v>15</v>
      </c>
      <c r="F15" s="344">
        <v>21</v>
      </c>
      <c r="G15" s="344">
        <v>14</v>
      </c>
      <c r="H15" s="344">
        <v>5</v>
      </c>
      <c r="I15" s="344">
        <v>2</v>
      </c>
      <c r="J15" s="344">
        <v>1</v>
      </c>
      <c r="K15" s="344">
        <v>0</v>
      </c>
      <c r="L15" s="344">
        <v>0</v>
      </c>
      <c r="M15" s="343">
        <v>65</v>
      </c>
      <c r="N15" s="145" t="s">
        <v>122</v>
      </c>
    </row>
    <row r="16" spans="1:18" ht="18.75" customHeight="1" thickBot="1">
      <c r="A16" s="147" t="s">
        <v>121</v>
      </c>
      <c r="B16" s="344">
        <v>0</v>
      </c>
      <c r="C16" s="344">
        <v>0</v>
      </c>
      <c r="D16" s="344">
        <v>5</v>
      </c>
      <c r="E16" s="344">
        <v>11</v>
      </c>
      <c r="F16" s="344">
        <v>13</v>
      </c>
      <c r="G16" s="344">
        <v>9</v>
      </c>
      <c r="H16" s="344">
        <v>6</v>
      </c>
      <c r="I16" s="344">
        <v>2</v>
      </c>
      <c r="J16" s="344">
        <v>0</v>
      </c>
      <c r="K16" s="344">
        <v>0</v>
      </c>
      <c r="L16" s="344">
        <v>0</v>
      </c>
      <c r="M16" s="343">
        <v>46</v>
      </c>
      <c r="N16" s="145" t="s">
        <v>121</v>
      </c>
    </row>
    <row r="17" spans="1:14" ht="18.75" customHeight="1" thickBot="1">
      <c r="A17" s="147" t="s">
        <v>120</v>
      </c>
      <c r="B17" s="344">
        <v>0</v>
      </c>
      <c r="C17" s="344">
        <v>0</v>
      </c>
      <c r="D17" s="344">
        <v>1</v>
      </c>
      <c r="E17" s="344">
        <v>2</v>
      </c>
      <c r="F17" s="344">
        <v>1</v>
      </c>
      <c r="G17" s="344">
        <v>4</v>
      </c>
      <c r="H17" s="344">
        <v>3</v>
      </c>
      <c r="I17" s="344">
        <v>3</v>
      </c>
      <c r="J17" s="344">
        <v>0</v>
      </c>
      <c r="K17" s="344">
        <v>0</v>
      </c>
      <c r="L17" s="344">
        <v>0</v>
      </c>
      <c r="M17" s="343">
        <v>14</v>
      </c>
      <c r="N17" s="145" t="s">
        <v>120</v>
      </c>
    </row>
    <row r="18" spans="1:14" ht="18.75" customHeight="1" thickBot="1">
      <c r="A18" s="147" t="s">
        <v>119</v>
      </c>
      <c r="B18" s="344">
        <v>0</v>
      </c>
      <c r="C18" s="344">
        <v>0</v>
      </c>
      <c r="D18" s="344">
        <v>0</v>
      </c>
      <c r="E18" s="344">
        <v>0</v>
      </c>
      <c r="F18" s="344">
        <v>0</v>
      </c>
      <c r="G18" s="344">
        <v>2</v>
      </c>
      <c r="H18" s="344">
        <v>4</v>
      </c>
      <c r="I18" s="344">
        <v>0</v>
      </c>
      <c r="J18" s="344">
        <v>0</v>
      </c>
      <c r="K18" s="344">
        <v>1</v>
      </c>
      <c r="L18" s="344">
        <v>0</v>
      </c>
      <c r="M18" s="343">
        <v>7</v>
      </c>
      <c r="N18" s="145" t="s">
        <v>119</v>
      </c>
    </row>
    <row r="19" spans="1:14" ht="18.75" customHeight="1" thickBot="1">
      <c r="A19" s="147" t="s">
        <v>118</v>
      </c>
      <c r="B19" s="344">
        <v>0</v>
      </c>
      <c r="C19" s="344">
        <v>0</v>
      </c>
      <c r="D19" s="344">
        <v>0</v>
      </c>
      <c r="E19" s="344">
        <v>2</v>
      </c>
      <c r="F19" s="344">
        <v>1</v>
      </c>
      <c r="G19" s="344">
        <v>0</v>
      </c>
      <c r="H19" s="344">
        <v>3</v>
      </c>
      <c r="I19" s="344">
        <v>0</v>
      </c>
      <c r="J19" s="344">
        <v>0</v>
      </c>
      <c r="K19" s="344">
        <v>1</v>
      </c>
      <c r="L19" s="344">
        <v>0</v>
      </c>
      <c r="M19" s="343">
        <v>7</v>
      </c>
      <c r="N19" s="145" t="s">
        <v>118</v>
      </c>
    </row>
    <row r="20" spans="1:14" ht="18.75" customHeight="1" thickBot="1">
      <c r="A20" s="147" t="s">
        <v>117</v>
      </c>
      <c r="B20" s="344">
        <v>0</v>
      </c>
      <c r="C20" s="344">
        <v>0</v>
      </c>
      <c r="D20" s="344">
        <v>0</v>
      </c>
      <c r="E20" s="344">
        <v>0</v>
      </c>
      <c r="F20" s="344">
        <v>0</v>
      </c>
      <c r="G20" s="344">
        <v>0</v>
      </c>
      <c r="H20" s="344">
        <v>0</v>
      </c>
      <c r="I20" s="344">
        <v>1</v>
      </c>
      <c r="J20" s="344">
        <v>0</v>
      </c>
      <c r="K20" s="344">
        <v>0</v>
      </c>
      <c r="L20" s="344">
        <v>0</v>
      </c>
      <c r="M20" s="343">
        <v>1</v>
      </c>
      <c r="N20" s="145" t="s">
        <v>117</v>
      </c>
    </row>
    <row r="21" spans="1:14" ht="18.75" customHeight="1" thickBot="1">
      <c r="A21" s="147" t="s">
        <v>116</v>
      </c>
      <c r="B21" s="344">
        <v>0</v>
      </c>
      <c r="C21" s="344">
        <v>0</v>
      </c>
      <c r="D21" s="344">
        <v>0</v>
      </c>
      <c r="E21" s="344">
        <v>0</v>
      </c>
      <c r="F21" s="344">
        <v>0</v>
      </c>
      <c r="G21" s="344">
        <v>0</v>
      </c>
      <c r="H21" s="344">
        <v>1</v>
      </c>
      <c r="I21" s="344">
        <v>1</v>
      </c>
      <c r="J21" s="344">
        <v>0</v>
      </c>
      <c r="K21" s="344">
        <v>0</v>
      </c>
      <c r="L21" s="344">
        <v>0</v>
      </c>
      <c r="M21" s="343">
        <v>2</v>
      </c>
      <c r="N21" s="145" t="s">
        <v>116</v>
      </c>
    </row>
    <row r="22" spans="1:14" ht="18.75" customHeight="1">
      <c r="A22" s="148" t="s">
        <v>14</v>
      </c>
      <c r="B22" s="345">
        <v>0</v>
      </c>
      <c r="C22" s="345">
        <v>1</v>
      </c>
      <c r="D22" s="345">
        <v>0</v>
      </c>
      <c r="E22" s="345">
        <v>0</v>
      </c>
      <c r="F22" s="345">
        <v>0</v>
      </c>
      <c r="G22" s="345">
        <v>0</v>
      </c>
      <c r="H22" s="345">
        <v>0</v>
      </c>
      <c r="I22" s="345">
        <v>0</v>
      </c>
      <c r="J22" s="345">
        <v>0</v>
      </c>
      <c r="K22" s="345">
        <v>0</v>
      </c>
      <c r="L22" s="345">
        <v>0</v>
      </c>
      <c r="M22" s="441">
        <v>1</v>
      </c>
      <c r="N22" s="149" t="s">
        <v>15</v>
      </c>
    </row>
    <row r="23" spans="1:14" ht="18.75" customHeight="1">
      <c r="A23" s="975" t="s">
        <v>16</v>
      </c>
      <c r="B23" s="971">
        <f>SUBTOTAL(109,Table_Default__XLS_TAB_11_2[AGE_LEVEL_LESS_20])</f>
        <v>131</v>
      </c>
      <c r="C23" s="971">
        <f>SUBTOTAL(109,Table_Default__XLS_TAB_11_2[AGE_LEVEL_20_24])</f>
        <v>504</v>
      </c>
      <c r="D23" s="971">
        <f>SUBTOTAL(109,Table_Default__XLS_TAB_11_2[AGE_LEVEL_25_29])</f>
        <v>603</v>
      </c>
      <c r="E23" s="971">
        <f>SUBTOTAL(109,Table_Default__XLS_TAB_11_2[AGE_LEVEL_30_34])</f>
        <v>383</v>
      </c>
      <c r="F23" s="971">
        <f>SUBTOTAL(109,Table_Default__XLS_TAB_11_2[AGE_LEVEL_35_39])</f>
        <v>208</v>
      </c>
      <c r="G23" s="971">
        <f>SUBTOTAL(109,Table_Default__XLS_TAB_11_2[AGE_LEVEL_40_44])</f>
        <v>79</v>
      </c>
      <c r="H23" s="971">
        <f>SUBTOTAL(109,Table_Default__XLS_TAB_11_2[AGE_LEVEL_45_49])</f>
        <v>36</v>
      </c>
      <c r="I23" s="971">
        <f>SUBTOTAL(109,Table_Default__XLS_TAB_11_2[AGE_LEVEL_50_54])</f>
        <v>12</v>
      </c>
      <c r="J23" s="971">
        <f>SUBTOTAL(109,Table_Default__XLS_TAB_11_2[AGE_LEVEL_55_59])</f>
        <v>2</v>
      </c>
      <c r="K23" s="971">
        <f>SUBTOTAL(109,Table_Default__XLS_TAB_11_2[AGE_LEVEL_UP_60])</f>
        <v>3</v>
      </c>
      <c r="L23" s="971">
        <f>SUBTOTAL(109,Table_Default__XLS_TAB_11_2[AGE_LEVEL_NOT_STATED])</f>
        <v>0</v>
      </c>
      <c r="M23" s="971">
        <f>SUBTOTAL(109,Table_Default__XLS_TAB_11_2[TOTAL])</f>
        <v>1961</v>
      </c>
      <c r="N23" s="976"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R23"/>
  <sheetViews>
    <sheetView rightToLeft="1" view="pageBreakPreview" topLeftCell="A4" zoomScaleNormal="100" zoomScaleSheetLayoutView="100" workbookViewId="0">
      <selection activeCell="J24" sqref="J24"/>
    </sheetView>
  </sheetViews>
  <sheetFormatPr defaultColWidth="9.140625" defaultRowHeight="12.75"/>
  <cols>
    <col min="1" max="1" width="24.28515625" style="1" customWidth="1"/>
    <col min="2" max="2" width="8.42578125" style="1" customWidth="1"/>
    <col min="3" max="3" width="8.85546875" style="1" customWidth="1"/>
    <col min="4" max="4" width="8.28515625" style="1" customWidth="1"/>
    <col min="5" max="5" width="9" style="1" customWidth="1"/>
    <col min="6" max="6" width="8.5703125" style="1" customWidth="1"/>
    <col min="7" max="7" width="7.7109375" style="1" customWidth="1"/>
    <col min="8" max="8" width="9" style="1" customWidth="1"/>
    <col min="9" max="9" width="7.28515625" style="1" customWidth="1"/>
    <col min="10" max="10" width="6.7109375" style="1" customWidth="1"/>
    <col min="11" max="11" width="7.42578125" style="1" customWidth="1"/>
    <col min="12" max="12" width="8.5703125" style="1" customWidth="1"/>
    <col min="13" max="13" width="9.42578125" style="1" customWidth="1"/>
    <col min="14" max="14" width="24.28515625" style="1" customWidth="1"/>
    <col min="15" max="16384" width="9.140625" style="1"/>
  </cols>
  <sheetData>
    <row r="1" spans="1:18" s="2" customFormat="1" ht="21.75" customHeight="1">
      <c r="A1" s="1041" t="s">
        <v>143</v>
      </c>
      <c r="B1" s="1041"/>
      <c r="C1" s="1041"/>
      <c r="D1" s="1041"/>
      <c r="E1" s="1041"/>
      <c r="F1" s="1041"/>
      <c r="G1" s="1041"/>
      <c r="H1" s="1041"/>
      <c r="I1" s="1041"/>
      <c r="J1" s="1041"/>
      <c r="K1" s="1041"/>
      <c r="L1" s="1041"/>
      <c r="M1" s="1041"/>
      <c r="N1" s="1041"/>
    </row>
    <row r="2" spans="1:18" s="2" customFormat="1" ht="15.75">
      <c r="A2" s="1068" t="s">
        <v>142</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t="s">
        <v>1</v>
      </c>
      <c r="B4" s="1069"/>
      <c r="C4" s="1069"/>
      <c r="D4" s="1069"/>
      <c r="E4" s="1069"/>
      <c r="F4" s="1069"/>
      <c r="G4" s="1069"/>
      <c r="H4" s="1069"/>
      <c r="I4" s="1069"/>
      <c r="J4" s="1069"/>
      <c r="K4" s="1069"/>
      <c r="L4" s="1069"/>
      <c r="M4" s="1069"/>
      <c r="N4" s="1069"/>
    </row>
    <row r="5" spans="1:18" s="2" customFormat="1" ht="15.75">
      <c r="A5" s="362"/>
      <c r="B5" s="362"/>
      <c r="C5" s="362"/>
      <c r="D5" s="362"/>
      <c r="E5" s="362"/>
      <c r="F5" s="362"/>
      <c r="G5" s="362"/>
      <c r="H5" s="362"/>
      <c r="I5" s="362"/>
      <c r="J5" s="362"/>
      <c r="K5" s="362"/>
      <c r="L5" s="362"/>
      <c r="M5" s="362"/>
      <c r="N5" s="362"/>
    </row>
    <row r="6" spans="1:18" s="29" customFormat="1" ht="15.75">
      <c r="A6" s="374" t="s">
        <v>154</v>
      </c>
      <c r="B6" s="375"/>
      <c r="C6" s="375"/>
      <c r="D6" s="375"/>
      <c r="E6" s="375"/>
      <c r="F6" s="375"/>
      <c r="G6" s="375"/>
      <c r="H6" s="375"/>
      <c r="I6" s="375"/>
      <c r="J6" s="375"/>
      <c r="K6" s="375"/>
      <c r="L6" s="375"/>
      <c r="M6" s="375"/>
      <c r="N6" s="376" t="s">
        <v>153</v>
      </c>
    </row>
    <row r="7" spans="1:18" ht="26.25" customHeight="1" thickBot="1">
      <c r="A7" s="1131" t="s">
        <v>141</v>
      </c>
      <c r="B7" s="1119" t="s">
        <v>135</v>
      </c>
      <c r="C7" s="1119"/>
      <c r="D7" s="1119"/>
      <c r="E7" s="1119"/>
      <c r="F7" s="1119"/>
      <c r="G7" s="1119"/>
      <c r="H7" s="1119"/>
      <c r="I7" s="1119"/>
      <c r="J7" s="1119"/>
      <c r="K7" s="1119"/>
      <c r="L7" s="1119"/>
      <c r="M7" s="1119"/>
      <c r="N7" s="1138" t="s">
        <v>1075</v>
      </c>
    </row>
    <row r="8" spans="1:18" ht="39.75" customHeight="1">
      <c r="A8" s="1140"/>
      <c r="B8" s="323">
        <v>-20</v>
      </c>
      <c r="C8" s="323" t="s">
        <v>127</v>
      </c>
      <c r="D8" s="323" t="s">
        <v>126</v>
      </c>
      <c r="E8" s="323" t="s">
        <v>125</v>
      </c>
      <c r="F8" s="323" t="s">
        <v>124</v>
      </c>
      <c r="G8" s="323" t="s">
        <v>123</v>
      </c>
      <c r="H8" s="323" t="s">
        <v>122</v>
      </c>
      <c r="I8" s="323" t="s">
        <v>121</v>
      </c>
      <c r="J8" s="323" t="s">
        <v>120</v>
      </c>
      <c r="K8" s="570" t="s">
        <v>132</v>
      </c>
      <c r="L8" s="332" t="s">
        <v>594</v>
      </c>
      <c r="M8" s="329" t="s">
        <v>595</v>
      </c>
      <c r="N8" s="1141"/>
    </row>
    <row r="9" spans="1:18" ht="18.75" customHeight="1" thickBot="1">
      <c r="A9" s="146" t="s">
        <v>426</v>
      </c>
      <c r="B9" s="342">
        <v>28</v>
      </c>
      <c r="C9" s="342">
        <v>9</v>
      </c>
      <c r="D9" s="342">
        <v>2</v>
      </c>
      <c r="E9" s="342">
        <v>0</v>
      </c>
      <c r="F9" s="342">
        <v>0</v>
      </c>
      <c r="G9" s="342">
        <v>0</v>
      </c>
      <c r="H9" s="342">
        <v>0</v>
      </c>
      <c r="I9" s="342">
        <v>0</v>
      </c>
      <c r="J9" s="342">
        <v>0</v>
      </c>
      <c r="K9" s="342">
        <v>0</v>
      </c>
      <c r="L9" s="342">
        <v>0</v>
      </c>
      <c r="M9" s="343">
        <v>39</v>
      </c>
      <c r="N9" s="144" t="s">
        <v>426</v>
      </c>
    </row>
    <row r="10" spans="1:18" ht="18.75" customHeight="1" thickBot="1">
      <c r="A10" s="147" t="s">
        <v>127</v>
      </c>
      <c r="B10" s="344">
        <v>168</v>
      </c>
      <c r="C10" s="344">
        <v>468</v>
      </c>
      <c r="D10" s="344">
        <v>79</v>
      </c>
      <c r="E10" s="344">
        <v>12</v>
      </c>
      <c r="F10" s="344">
        <v>6</v>
      </c>
      <c r="G10" s="344">
        <v>2</v>
      </c>
      <c r="H10" s="344">
        <v>1</v>
      </c>
      <c r="I10" s="344">
        <v>1</v>
      </c>
      <c r="J10" s="344">
        <v>0</v>
      </c>
      <c r="K10" s="344">
        <v>0</v>
      </c>
      <c r="L10" s="344">
        <v>0</v>
      </c>
      <c r="M10" s="343">
        <v>737</v>
      </c>
      <c r="N10" s="145" t="s">
        <v>127</v>
      </c>
    </row>
    <row r="11" spans="1:18" ht="18.75" customHeight="1" thickBot="1">
      <c r="A11" s="147" t="s">
        <v>126</v>
      </c>
      <c r="B11" s="344">
        <v>120</v>
      </c>
      <c r="C11" s="344">
        <v>780</v>
      </c>
      <c r="D11" s="344">
        <v>645</v>
      </c>
      <c r="E11" s="344">
        <v>77</v>
      </c>
      <c r="F11" s="344">
        <v>26</v>
      </c>
      <c r="G11" s="344">
        <v>5</v>
      </c>
      <c r="H11" s="344">
        <v>3</v>
      </c>
      <c r="I11" s="344">
        <v>0</v>
      </c>
      <c r="J11" s="344">
        <v>0</v>
      </c>
      <c r="K11" s="344">
        <v>0</v>
      </c>
      <c r="L11" s="344">
        <v>0</v>
      </c>
      <c r="M11" s="343">
        <v>1656</v>
      </c>
      <c r="N11" s="145" t="s">
        <v>126</v>
      </c>
    </row>
    <row r="12" spans="1:18" ht="18.75" customHeight="1" thickBot="1">
      <c r="A12" s="147" t="s">
        <v>125</v>
      </c>
      <c r="B12" s="344">
        <v>17</v>
      </c>
      <c r="C12" s="344">
        <v>209</v>
      </c>
      <c r="D12" s="344">
        <v>398</v>
      </c>
      <c r="E12" s="344">
        <v>273</v>
      </c>
      <c r="F12" s="344">
        <v>51</v>
      </c>
      <c r="G12" s="344">
        <v>15</v>
      </c>
      <c r="H12" s="344">
        <v>1</v>
      </c>
      <c r="I12" s="344">
        <v>2</v>
      </c>
      <c r="J12" s="344">
        <v>1</v>
      </c>
      <c r="K12" s="344">
        <v>0</v>
      </c>
      <c r="L12" s="344">
        <v>0</v>
      </c>
      <c r="M12" s="343">
        <v>967</v>
      </c>
      <c r="N12" s="145" t="s">
        <v>125</v>
      </c>
    </row>
    <row r="13" spans="1:18" ht="18.75" customHeight="1" thickBot="1">
      <c r="A13" s="147" t="s">
        <v>124</v>
      </c>
      <c r="B13" s="344">
        <v>4</v>
      </c>
      <c r="C13" s="344">
        <v>34</v>
      </c>
      <c r="D13" s="344">
        <v>110</v>
      </c>
      <c r="E13" s="344">
        <v>144</v>
      </c>
      <c r="F13" s="344">
        <v>101</v>
      </c>
      <c r="G13" s="344">
        <v>21</v>
      </c>
      <c r="H13" s="344">
        <v>6</v>
      </c>
      <c r="I13" s="344">
        <v>1</v>
      </c>
      <c r="J13" s="344">
        <v>1</v>
      </c>
      <c r="K13" s="344">
        <v>0</v>
      </c>
      <c r="L13" s="344">
        <v>0</v>
      </c>
      <c r="M13" s="343">
        <v>422</v>
      </c>
      <c r="N13" s="145" t="s">
        <v>124</v>
      </c>
    </row>
    <row r="14" spans="1:18" ht="18.75" customHeight="1" thickBot="1">
      <c r="A14" s="147" t="s">
        <v>123</v>
      </c>
      <c r="B14" s="344">
        <v>1</v>
      </c>
      <c r="C14" s="344">
        <v>7</v>
      </c>
      <c r="D14" s="344">
        <v>32</v>
      </c>
      <c r="E14" s="344">
        <v>80</v>
      </c>
      <c r="F14" s="344">
        <v>83</v>
      </c>
      <c r="G14" s="344">
        <v>42</v>
      </c>
      <c r="H14" s="344">
        <v>9</v>
      </c>
      <c r="I14" s="344">
        <v>2</v>
      </c>
      <c r="J14" s="344">
        <v>1</v>
      </c>
      <c r="K14" s="344">
        <v>1</v>
      </c>
      <c r="L14" s="344">
        <v>0</v>
      </c>
      <c r="M14" s="343">
        <v>258</v>
      </c>
      <c r="N14" s="145" t="s">
        <v>123</v>
      </c>
    </row>
    <row r="15" spans="1:18" ht="18.75" customHeight="1" thickBot="1">
      <c r="A15" s="147" t="s">
        <v>122</v>
      </c>
      <c r="B15" s="344">
        <v>0</v>
      </c>
      <c r="C15" s="344">
        <v>2</v>
      </c>
      <c r="D15" s="344">
        <v>9</v>
      </c>
      <c r="E15" s="344">
        <v>26</v>
      </c>
      <c r="F15" s="344">
        <v>48</v>
      </c>
      <c r="G15" s="344">
        <v>28</v>
      </c>
      <c r="H15" s="344">
        <v>13</v>
      </c>
      <c r="I15" s="344">
        <v>5</v>
      </c>
      <c r="J15" s="344">
        <v>1</v>
      </c>
      <c r="K15" s="344">
        <v>0</v>
      </c>
      <c r="L15" s="344">
        <v>0</v>
      </c>
      <c r="M15" s="343">
        <v>132</v>
      </c>
      <c r="N15" s="145" t="s">
        <v>122</v>
      </c>
    </row>
    <row r="16" spans="1:18" ht="18.75" customHeight="1" thickBot="1">
      <c r="A16" s="147" t="s">
        <v>121</v>
      </c>
      <c r="B16" s="344">
        <v>0</v>
      </c>
      <c r="C16" s="344">
        <v>0</v>
      </c>
      <c r="D16" s="344">
        <v>11</v>
      </c>
      <c r="E16" s="344">
        <v>17</v>
      </c>
      <c r="F16" s="344">
        <v>26</v>
      </c>
      <c r="G16" s="344">
        <v>22</v>
      </c>
      <c r="H16" s="344">
        <v>16</v>
      </c>
      <c r="I16" s="344">
        <v>2</v>
      </c>
      <c r="J16" s="344">
        <v>0</v>
      </c>
      <c r="K16" s="344">
        <v>0</v>
      </c>
      <c r="L16" s="344">
        <v>0</v>
      </c>
      <c r="M16" s="343">
        <v>94</v>
      </c>
      <c r="N16" s="145" t="s">
        <v>121</v>
      </c>
    </row>
    <row r="17" spans="1:14" ht="18.75" customHeight="1" thickBot="1">
      <c r="A17" s="147" t="s">
        <v>120</v>
      </c>
      <c r="B17" s="344">
        <v>0</v>
      </c>
      <c r="C17" s="344">
        <v>1</v>
      </c>
      <c r="D17" s="344">
        <v>3</v>
      </c>
      <c r="E17" s="344">
        <v>4</v>
      </c>
      <c r="F17" s="344">
        <v>10</v>
      </c>
      <c r="G17" s="344">
        <v>11</v>
      </c>
      <c r="H17" s="344">
        <v>10</v>
      </c>
      <c r="I17" s="344">
        <v>5</v>
      </c>
      <c r="J17" s="344">
        <v>2</v>
      </c>
      <c r="K17" s="344">
        <v>0</v>
      </c>
      <c r="L17" s="344">
        <v>0</v>
      </c>
      <c r="M17" s="343">
        <v>46</v>
      </c>
      <c r="N17" s="145" t="s">
        <v>120</v>
      </c>
    </row>
    <row r="18" spans="1:14" ht="18.75" customHeight="1" thickBot="1">
      <c r="A18" s="147" t="s">
        <v>119</v>
      </c>
      <c r="B18" s="344">
        <v>0</v>
      </c>
      <c r="C18" s="344">
        <v>0</v>
      </c>
      <c r="D18" s="344">
        <v>1</v>
      </c>
      <c r="E18" s="344">
        <v>1</v>
      </c>
      <c r="F18" s="344">
        <v>3</v>
      </c>
      <c r="G18" s="344">
        <v>4</v>
      </c>
      <c r="H18" s="344">
        <v>6</v>
      </c>
      <c r="I18" s="344">
        <v>2</v>
      </c>
      <c r="J18" s="344">
        <v>1</v>
      </c>
      <c r="K18" s="344">
        <v>1</v>
      </c>
      <c r="L18" s="344">
        <v>0</v>
      </c>
      <c r="M18" s="343">
        <v>19</v>
      </c>
      <c r="N18" s="145" t="s">
        <v>119</v>
      </c>
    </row>
    <row r="19" spans="1:14" ht="18.75" customHeight="1" thickBot="1">
      <c r="A19" s="147" t="s">
        <v>118</v>
      </c>
      <c r="B19" s="344">
        <v>0</v>
      </c>
      <c r="C19" s="344">
        <v>0</v>
      </c>
      <c r="D19" s="344">
        <v>0</v>
      </c>
      <c r="E19" s="344">
        <v>2</v>
      </c>
      <c r="F19" s="344">
        <v>5</v>
      </c>
      <c r="G19" s="344">
        <v>1</v>
      </c>
      <c r="H19" s="344">
        <v>4</v>
      </c>
      <c r="I19" s="344">
        <v>1</v>
      </c>
      <c r="J19" s="344">
        <v>0</v>
      </c>
      <c r="K19" s="344">
        <v>1</v>
      </c>
      <c r="L19" s="344">
        <v>0</v>
      </c>
      <c r="M19" s="343">
        <v>14</v>
      </c>
      <c r="N19" s="145" t="s">
        <v>118</v>
      </c>
    </row>
    <row r="20" spans="1:14" ht="18.75" customHeight="1" thickBot="1">
      <c r="A20" s="147" t="s">
        <v>117</v>
      </c>
      <c r="B20" s="344">
        <v>0</v>
      </c>
      <c r="C20" s="344">
        <v>0</v>
      </c>
      <c r="D20" s="344">
        <v>0</v>
      </c>
      <c r="E20" s="344">
        <v>0</v>
      </c>
      <c r="F20" s="344">
        <v>0</v>
      </c>
      <c r="G20" s="344">
        <v>0</v>
      </c>
      <c r="H20" s="344">
        <v>0</v>
      </c>
      <c r="I20" s="344">
        <v>1</v>
      </c>
      <c r="J20" s="344">
        <v>0</v>
      </c>
      <c r="K20" s="344">
        <v>0</v>
      </c>
      <c r="L20" s="344">
        <v>0</v>
      </c>
      <c r="M20" s="343">
        <v>1</v>
      </c>
      <c r="N20" s="145" t="s">
        <v>117</v>
      </c>
    </row>
    <row r="21" spans="1:14" ht="18.75" customHeight="1" thickBot="1">
      <c r="A21" s="147" t="s">
        <v>116</v>
      </c>
      <c r="B21" s="344">
        <v>0</v>
      </c>
      <c r="C21" s="344">
        <v>0</v>
      </c>
      <c r="D21" s="344">
        <v>0</v>
      </c>
      <c r="E21" s="344">
        <v>0</v>
      </c>
      <c r="F21" s="344">
        <v>0</v>
      </c>
      <c r="G21" s="344">
        <v>1</v>
      </c>
      <c r="H21" s="344">
        <v>1</v>
      </c>
      <c r="I21" s="344">
        <v>1</v>
      </c>
      <c r="J21" s="344">
        <v>0</v>
      </c>
      <c r="K21" s="344">
        <v>0</v>
      </c>
      <c r="L21" s="344">
        <v>0</v>
      </c>
      <c r="M21" s="343">
        <v>3</v>
      </c>
      <c r="N21" s="145" t="s">
        <v>116</v>
      </c>
    </row>
    <row r="22" spans="1:14" ht="18.75" customHeight="1">
      <c r="A22" s="148" t="s">
        <v>14</v>
      </c>
      <c r="B22" s="345">
        <v>0</v>
      </c>
      <c r="C22" s="345">
        <v>1</v>
      </c>
      <c r="D22" s="345">
        <v>1</v>
      </c>
      <c r="E22" s="345">
        <v>0</v>
      </c>
      <c r="F22" s="345">
        <v>0</v>
      </c>
      <c r="G22" s="345">
        <v>0</v>
      </c>
      <c r="H22" s="345">
        <v>0</v>
      </c>
      <c r="I22" s="345">
        <v>0</v>
      </c>
      <c r="J22" s="345">
        <v>0</v>
      </c>
      <c r="K22" s="345">
        <v>0</v>
      </c>
      <c r="L22" s="345">
        <v>0</v>
      </c>
      <c r="M22" s="441">
        <v>2</v>
      </c>
      <c r="N22" s="149" t="s">
        <v>15</v>
      </c>
    </row>
    <row r="23" spans="1:14" ht="18.75" customHeight="1">
      <c r="A23" s="975" t="s">
        <v>16</v>
      </c>
      <c r="B23" s="971">
        <f>SUBTOTAL(109,Table_Default__XLS_TAB_11_3[AGE_LEVEL_LESS_20])</f>
        <v>338</v>
      </c>
      <c r="C23" s="971">
        <f>SUBTOTAL(109,Table_Default__XLS_TAB_11_3[AGE_LEVEL_20_24])</f>
        <v>1511</v>
      </c>
      <c r="D23" s="971">
        <f>SUBTOTAL(109,Table_Default__XLS_TAB_11_3[AGE_LEVEL_25_29])</f>
        <v>1291</v>
      </c>
      <c r="E23" s="971">
        <f>SUBTOTAL(109,Table_Default__XLS_TAB_11_3[AGE_LEVEL_30_34])</f>
        <v>636</v>
      </c>
      <c r="F23" s="971">
        <f>SUBTOTAL(109,Table_Default__XLS_TAB_11_3[AGE_LEVEL_35_39])</f>
        <v>359</v>
      </c>
      <c r="G23" s="971">
        <f>SUBTOTAL(109,Table_Default__XLS_TAB_11_3[AGE_LEVEL_40_44])</f>
        <v>152</v>
      </c>
      <c r="H23" s="971">
        <f>SUBTOTAL(109,Table_Default__XLS_TAB_11_3[AGE_LEVEL_45_49])</f>
        <v>70</v>
      </c>
      <c r="I23" s="971">
        <f>SUBTOTAL(109,Table_Default__XLS_TAB_11_3[AGE_LEVEL_50_54])</f>
        <v>23</v>
      </c>
      <c r="J23" s="971">
        <f>SUBTOTAL(109,Table_Default__XLS_TAB_11_3[AGE_LEVEL_55_59])</f>
        <v>7</v>
      </c>
      <c r="K23" s="971">
        <f>SUBTOTAL(109,Table_Default__XLS_TAB_11_3[AGE_LEVEL_UP_60])</f>
        <v>3</v>
      </c>
      <c r="L23" s="971">
        <f>SUBTOTAL(109,Table_Default__XLS_TAB_11_3[AGE_LEVEL_NOT_STATED])</f>
        <v>0</v>
      </c>
      <c r="M23" s="971">
        <f>SUBTOTAL(109,Table_Default__XLS_TAB_11_3[TOTAL])</f>
        <v>4390</v>
      </c>
      <c r="N23" s="976"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10"/>
  <sheetViews>
    <sheetView rightToLeft="1" view="pageBreakPreview" zoomScaleNormal="100" zoomScaleSheetLayoutView="100" workbookViewId="0">
      <selection activeCell="D3" sqref="D3"/>
    </sheetView>
  </sheetViews>
  <sheetFormatPr defaultColWidth="9.140625" defaultRowHeight="12.75"/>
  <cols>
    <col min="1" max="1" width="5" style="1" customWidth="1"/>
    <col min="2" max="2" width="42.28515625" style="1" customWidth="1"/>
    <col min="3" max="3" width="5.140625" style="1" customWidth="1"/>
    <col min="4" max="4" width="43.7109375" style="1" customWidth="1"/>
    <col min="5" max="16384" width="9.140625" style="1"/>
  </cols>
  <sheetData>
    <row r="1" spans="1:4" ht="33.75" customHeight="1">
      <c r="B1" s="644" t="s">
        <v>745</v>
      </c>
      <c r="C1" s="643"/>
      <c r="D1" s="642" t="s">
        <v>744</v>
      </c>
    </row>
    <row r="2" spans="1:4" ht="15.75" customHeight="1">
      <c r="B2" s="641"/>
      <c r="C2" s="309"/>
      <c r="D2" s="640"/>
    </row>
    <row r="3" spans="1:4" ht="96.75" customHeight="1">
      <c r="A3" s="635"/>
      <c r="B3" s="639" t="s">
        <v>743</v>
      </c>
      <c r="D3" s="638" t="s">
        <v>742</v>
      </c>
    </row>
    <row r="4" spans="1:4" ht="165" customHeight="1">
      <c r="A4" s="635"/>
      <c r="B4" s="639" t="s">
        <v>741</v>
      </c>
      <c r="D4" s="638" t="s">
        <v>740</v>
      </c>
    </row>
    <row r="5" spans="1:4" ht="91.5" customHeight="1">
      <c r="A5" s="637"/>
      <c r="B5" s="639" t="s">
        <v>1105</v>
      </c>
      <c r="D5" s="638" t="s">
        <v>1106</v>
      </c>
    </row>
    <row r="6" spans="1:4" ht="39" customHeight="1">
      <c r="A6" s="637"/>
      <c r="B6" s="636"/>
      <c r="D6" s="635"/>
    </row>
    <row r="7" spans="1:4" ht="19.5">
      <c r="A7" s="633"/>
      <c r="B7" s="634"/>
      <c r="D7" s="633"/>
    </row>
    <row r="8" spans="1:4" ht="18">
      <c r="A8" s="632"/>
      <c r="B8" s="631" t="s">
        <v>739</v>
      </c>
      <c r="D8" s="630" t="s">
        <v>738</v>
      </c>
    </row>
    <row r="9" spans="1:4" ht="18">
      <c r="A9" s="629"/>
      <c r="B9" s="628" t="s">
        <v>737</v>
      </c>
      <c r="D9" s="627" t="s">
        <v>736</v>
      </c>
    </row>
    <row r="10" spans="1:4" ht="26.25">
      <c r="A10" s="625"/>
      <c r="B10" s="626"/>
      <c r="D10" s="625"/>
    </row>
  </sheetData>
  <printOptions horizontalCentered="1"/>
  <pageMargins left="0.82677165354330717" right="0.35433070866141736" top="0.98425196850393704" bottom="0.98425196850393704" header="0.51181102362204722" footer="0.51181102362204722"/>
  <pageSetup paperSize="9" scale="8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24"/>
  <sheetViews>
    <sheetView rightToLeft="1" view="pageBreakPreview" topLeftCell="A7" zoomScaleNormal="100" zoomScaleSheetLayoutView="100" workbookViewId="0">
      <selection activeCell="G28" sqref="G28"/>
    </sheetView>
  </sheetViews>
  <sheetFormatPr defaultColWidth="9.140625" defaultRowHeight="12.75"/>
  <cols>
    <col min="1" max="1" width="24.28515625" style="2" customWidth="1"/>
    <col min="2" max="4" width="13.7109375" style="2" customWidth="1"/>
    <col min="5" max="5" width="11.140625" style="2" customWidth="1"/>
    <col min="6" max="7" width="13.5703125" style="2" customWidth="1"/>
    <col min="8" max="8" width="24.28515625" style="2" customWidth="1"/>
    <col min="9" max="16384" width="9.140625" style="2"/>
  </cols>
  <sheetData>
    <row r="1" spans="1:11" ht="21.75" customHeight="1">
      <c r="A1" s="1041" t="s">
        <v>150</v>
      </c>
      <c r="B1" s="1041"/>
      <c r="C1" s="1142"/>
      <c r="D1" s="1041"/>
      <c r="E1" s="1041"/>
      <c r="F1" s="1041"/>
      <c r="G1" s="1041"/>
      <c r="H1" s="1041"/>
    </row>
    <row r="2" spans="1:11" ht="15.75">
      <c r="A2" s="1068" t="s">
        <v>149</v>
      </c>
      <c r="B2" s="1068"/>
      <c r="C2" s="1068"/>
      <c r="D2" s="1068"/>
      <c r="E2" s="1068"/>
      <c r="F2" s="1068"/>
      <c r="G2" s="1068"/>
      <c r="H2" s="1068"/>
    </row>
    <row r="3" spans="1:11" ht="18" customHeight="1">
      <c r="A3" s="1069">
        <v>2021</v>
      </c>
      <c r="B3" s="1069"/>
      <c r="C3" s="1069"/>
      <c r="D3" s="1069"/>
      <c r="E3" s="1069"/>
      <c r="F3" s="1069"/>
      <c r="G3" s="1069"/>
      <c r="H3" s="1069"/>
      <c r="I3" s="54"/>
      <c r="J3" s="54"/>
      <c r="K3" s="54"/>
    </row>
    <row r="4" spans="1:11" ht="15.75">
      <c r="A4" s="1069" t="s">
        <v>52</v>
      </c>
      <c r="B4" s="1069"/>
      <c r="C4" s="1069"/>
      <c r="D4" s="1069"/>
      <c r="E4" s="1069"/>
      <c r="F4" s="1069"/>
      <c r="G4" s="1069"/>
      <c r="H4" s="1069"/>
    </row>
    <row r="5" spans="1:11" ht="15.75">
      <c r="A5" s="362"/>
      <c r="B5" s="362"/>
      <c r="C5" s="362"/>
      <c r="D5" s="362"/>
      <c r="E5" s="362"/>
      <c r="F5" s="362"/>
      <c r="G5" s="362"/>
      <c r="H5" s="362"/>
    </row>
    <row r="6" spans="1:11" s="29" customFormat="1" ht="15.75">
      <c r="A6" s="374" t="s">
        <v>157</v>
      </c>
      <c r="B6" s="375"/>
      <c r="C6" s="375"/>
      <c r="D6" s="375"/>
      <c r="E6" s="375"/>
      <c r="F6" s="375"/>
      <c r="G6" s="375"/>
      <c r="H6" s="376" t="s">
        <v>156</v>
      </c>
    </row>
    <row r="7" spans="1:11" ht="26.25" customHeight="1" thickBot="1">
      <c r="A7" s="1131" t="s">
        <v>141</v>
      </c>
      <c r="B7" s="1119" t="s">
        <v>146</v>
      </c>
      <c r="C7" s="1119"/>
      <c r="D7" s="1119"/>
      <c r="E7" s="1119"/>
      <c r="F7" s="1119"/>
      <c r="G7" s="1119"/>
      <c r="H7" s="1138" t="s">
        <v>1075</v>
      </c>
    </row>
    <row r="8" spans="1:11" ht="40.5" customHeight="1">
      <c r="A8" s="1132"/>
      <c r="B8" s="328" t="s">
        <v>596</v>
      </c>
      <c r="C8" s="328">
        <v>1</v>
      </c>
      <c r="D8" s="328">
        <v>2</v>
      </c>
      <c r="E8" s="328">
        <v>3</v>
      </c>
      <c r="F8" s="331" t="s">
        <v>594</v>
      </c>
      <c r="G8" s="536" t="s">
        <v>595</v>
      </c>
      <c r="H8" s="1139"/>
    </row>
    <row r="9" spans="1:11" ht="17.25" customHeight="1" thickBot="1">
      <c r="A9" s="786" t="s">
        <v>426</v>
      </c>
      <c r="B9" s="346">
        <v>27</v>
      </c>
      <c r="C9" s="346">
        <v>0</v>
      </c>
      <c r="D9" s="346">
        <v>0</v>
      </c>
      <c r="E9" s="346">
        <v>0</v>
      </c>
      <c r="F9" s="346">
        <v>0</v>
      </c>
      <c r="G9" s="499">
        <v>27</v>
      </c>
      <c r="H9" s="787" t="s">
        <v>426</v>
      </c>
    </row>
    <row r="10" spans="1:11" ht="17.25" customHeight="1" thickBot="1">
      <c r="A10" s="147" t="s">
        <v>127</v>
      </c>
      <c r="B10" s="344">
        <v>520</v>
      </c>
      <c r="C10" s="344">
        <v>3</v>
      </c>
      <c r="D10" s="344">
        <v>0</v>
      </c>
      <c r="E10" s="344">
        <v>0</v>
      </c>
      <c r="F10" s="344">
        <v>0</v>
      </c>
      <c r="G10" s="499">
        <v>523</v>
      </c>
      <c r="H10" s="145" t="s">
        <v>127</v>
      </c>
    </row>
    <row r="11" spans="1:11" ht="17.25" customHeight="1" thickBot="1">
      <c r="A11" s="147" t="s">
        <v>126</v>
      </c>
      <c r="B11" s="344">
        <v>1013</v>
      </c>
      <c r="C11" s="344">
        <v>8</v>
      </c>
      <c r="D11" s="344">
        <v>0</v>
      </c>
      <c r="E11" s="344">
        <v>0</v>
      </c>
      <c r="F11" s="344">
        <v>0</v>
      </c>
      <c r="G11" s="499">
        <v>1021</v>
      </c>
      <c r="H11" s="145" t="s">
        <v>126</v>
      </c>
    </row>
    <row r="12" spans="1:11" ht="17.25" customHeight="1" thickBot="1">
      <c r="A12" s="147" t="s">
        <v>125</v>
      </c>
      <c r="B12" s="344">
        <v>402</v>
      </c>
      <c r="C12" s="344">
        <v>14</v>
      </c>
      <c r="D12" s="344">
        <v>0</v>
      </c>
      <c r="E12" s="344">
        <v>0</v>
      </c>
      <c r="F12" s="344">
        <v>0</v>
      </c>
      <c r="G12" s="499">
        <v>416</v>
      </c>
      <c r="H12" s="145" t="s">
        <v>125</v>
      </c>
    </row>
    <row r="13" spans="1:11" ht="17.25" customHeight="1" thickBot="1">
      <c r="A13" s="147" t="s">
        <v>124</v>
      </c>
      <c r="B13" s="344">
        <v>142</v>
      </c>
      <c r="C13" s="344">
        <v>22</v>
      </c>
      <c r="D13" s="344">
        <v>1</v>
      </c>
      <c r="E13" s="344">
        <v>0</v>
      </c>
      <c r="F13" s="344">
        <v>0</v>
      </c>
      <c r="G13" s="499">
        <v>165</v>
      </c>
      <c r="H13" s="145" t="s">
        <v>124</v>
      </c>
    </row>
    <row r="14" spans="1:11" ht="17.25" customHeight="1" thickBot="1">
      <c r="A14" s="147" t="s">
        <v>123</v>
      </c>
      <c r="B14" s="344">
        <v>80</v>
      </c>
      <c r="C14" s="344">
        <v>27</v>
      </c>
      <c r="D14" s="344">
        <v>1</v>
      </c>
      <c r="E14" s="344">
        <v>1</v>
      </c>
      <c r="F14" s="344">
        <v>0</v>
      </c>
      <c r="G14" s="499">
        <v>109</v>
      </c>
      <c r="H14" s="145" t="s">
        <v>123</v>
      </c>
    </row>
    <row r="15" spans="1:11" ht="17.25" customHeight="1" thickBot="1">
      <c r="A15" s="147" t="s">
        <v>122</v>
      </c>
      <c r="B15" s="344">
        <v>42</v>
      </c>
      <c r="C15" s="344">
        <v>24</v>
      </c>
      <c r="D15" s="344">
        <v>1</v>
      </c>
      <c r="E15" s="344">
        <v>0</v>
      </c>
      <c r="F15" s="344">
        <v>0</v>
      </c>
      <c r="G15" s="499">
        <v>67</v>
      </c>
      <c r="H15" s="145" t="s">
        <v>122</v>
      </c>
    </row>
    <row r="16" spans="1:11" ht="17.25" customHeight="1" thickBot="1">
      <c r="A16" s="147" t="s">
        <v>121</v>
      </c>
      <c r="B16" s="344">
        <v>24</v>
      </c>
      <c r="C16" s="344">
        <v>22</v>
      </c>
      <c r="D16" s="344">
        <v>2</v>
      </c>
      <c r="E16" s="344">
        <v>0</v>
      </c>
      <c r="F16" s="344">
        <v>0</v>
      </c>
      <c r="G16" s="499">
        <v>48</v>
      </c>
      <c r="H16" s="145" t="s">
        <v>121</v>
      </c>
    </row>
    <row r="17" spans="1:8" ht="17.25" customHeight="1" thickBot="1">
      <c r="A17" s="147" t="s">
        <v>120</v>
      </c>
      <c r="B17" s="344">
        <v>20</v>
      </c>
      <c r="C17" s="344">
        <v>11</v>
      </c>
      <c r="D17" s="344">
        <v>0</v>
      </c>
      <c r="E17" s="344">
        <v>1</v>
      </c>
      <c r="F17" s="344">
        <v>0</v>
      </c>
      <c r="G17" s="499">
        <v>32</v>
      </c>
      <c r="H17" s="145" t="s">
        <v>120</v>
      </c>
    </row>
    <row r="18" spans="1:8" ht="17.25" customHeight="1" thickBot="1">
      <c r="A18" s="147" t="s">
        <v>119</v>
      </c>
      <c r="B18" s="344">
        <v>7</v>
      </c>
      <c r="C18" s="344">
        <v>5</v>
      </c>
      <c r="D18" s="344">
        <v>0</v>
      </c>
      <c r="E18" s="344">
        <v>0</v>
      </c>
      <c r="F18" s="344">
        <v>0</v>
      </c>
      <c r="G18" s="499">
        <v>12</v>
      </c>
      <c r="H18" s="145" t="s">
        <v>119</v>
      </c>
    </row>
    <row r="19" spans="1:8" ht="17.25" customHeight="1" thickBot="1">
      <c r="A19" s="147" t="s">
        <v>118</v>
      </c>
      <c r="B19" s="344">
        <v>4</v>
      </c>
      <c r="C19" s="344">
        <v>3</v>
      </c>
      <c r="D19" s="344">
        <v>0</v>
      </c>
      <c r="E19" s="344">
        <v>0</v>
      </c>
      <c r="F19" s="344">
        <v>0</v>
      </c>
      <c r="G19" s="499">
        <v>7</v>
      </c>
      <c r="H19" s="145" t="s">
        <v>118</v>
      </c>
    </row>
    <row r="20" spans="1:8" ht="17.25" customHeight="1" thickBot="1">
      <c r="A20" s="147" t="s">
        <v>117</v>
      </c>
      <c r="B20" s="344">
        <v>0</v>
      </c>
      <c r="C20" s="344">
        <v>0</v>
      </c>
      <c r="D20" s="344">
        <v>0</v>
      </c>
      <c r="E20" s="344">
        <v>0</v>
      </c>
      <c r="F20" s="344">
        <v>0</v>
      </c>
      <c r="G20" s="499">
        <v>0</v>
      </c>
      <c r="H20" s="145" t="s">
        <v>117</v>
      </c>
    </row>
    <row r="21" spans="1:8" ht="17.25" customHeight="1" thickBot="1">
      <c r="A21" s="147" t="s">
        <v>116</v>
      </c>
      <c r="B21" s="344">
        <v>0</v>
      </c>
      <c r="C21" s="344">
        <v>0</v>
      </c>
      <c r="D21" s="344">
        <v>1</v>
      </c>
      <c r="E21" s="344">
        <v>0</v>
      </c>
      <c r="F21" s="344">
        <v>0</v>
      </c>
      <c r="G21" s="499">
        <v>1</v>
      </c>
      <c r="H21" s="145" t="s">
        <v>116</v>
      </c>
    </row>
    <row r="22" spans="1:8" ht="17.25" customHeight="1">
      <c r="A22" s="148" t="s">
        <v>14</v>
      </c>
      <c r="B22" s="345">
        <v>1</v>
      </c>
      <c r="C22" s="345">
        <v>0</v>
      </c>
      <c r="D22" s="345">
        <v>0</v>
      </c>
      <c r="E22" s="345">
        <v>0</v>
      </c>
      <c r="F22" s="345">
        <v>0</v>
      </c>
      <c r="G22" s="500">
        <v>1</v>
      </c>
      <c r="H22" s="149" t="s">
        <v>15</v>
      </c>
    </row>
    <row r="23" spans="1:8" ht="21.95" customHeight="1" thickBot="1">
      <c r="A23" s="977" t="s">
        <v>16</v>
      </c>
      <c r="B23" s="978">
        <f>SUBTOTAL(109,Table_Default__XLS_TAB_12_1[NO_WIFE_0])</f>
        <v>2282</v>
      </c>
      <c r="C23" s="978">
        <f>SUBTOTAL(109,Table_Default__XLS_TAB_12_1[NO_WIFE_1])</f>
        <v>139</v>
      </c>
      <c r="D23" s="978">
        <f>SUBTOTAL(109,Table_Default__XLS_TAB_12_1[NO_WIFE_2])</f>
        <v>6</v>
      </c>
      <c r="E23" s="978">
        <f>SUBTOTAL(109,Table_Default__XLS_TAB_12_1[NO_WIFE_3])</f>
        <v>2</v>
      </c>
      <c r="F23" s="979">
        <f>SUBTOTAL(109,Table_Default__XLS_TAB_12_1[NO_WIFE_NOT_STATED])</f>
        <v>0</v>
      </c>
      <c r="G23" s="978">
        <f>SUBTOTAL(109,Table_Default__XLS_TAB_12_1[TOTAL])</f>
        <v>2429</v>
      </c>
      <c r="H23" s="980" t="s">
        <v>55</v>
      </c>
    </row>
    <row r="24" spans="1:8" ht="19.5" customHeight="1">
      <c r="A24" s="507" t="s">
        <v>144</v>
      </c>
      <c r="B24" s="508">
        <f>B23/$G$23%</f>
        <v>93.948126801152739</v>
      </c>
      <c r="C24" s="508">
        <f>C23/$G$23%</f>
        <v>5.7225195553725818</v>
      </c>
      <c r="D24" s="508">
        <f>D23/$G$23%</f>
        <v>0.24701523260601072</v>
      </c>
      <c r="E24" s="508">
        <f>E23/$G$23%</f>
        <v>8.2338410868670234E-2</v>
      </c>
      <c r="F24" s="508">
        <f>F23/$G$23%</f>
        <v>0</v>
      </c>
      <c r="G24" s="508">
        <f>SUM(B24:F24)</f>
        <v>100.00000000000001</v>
      </c>
      <c r="H24" s="773"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K24"/>
  <sheetViews>
    <sheetView rightToLeft="1" view="pageBreakPreview" topLeftCell="A7" zoomScaleNormal="100" zoomScaleSheetLayoutView="100" workbookViewId="0">
      <selection activeCell="F29" sqref="F29"/>
    </sheetView>
  </sheetViews>
  <sheetFormatPr defaultColWidth="9.140625" defaultRowHeight="12.75"/>
  <cols>
    <col min="1" max="1" width="24.28515625" style="2" customWidth="1"/>
    <col min="2" max="4" width="13.7109375" style="2" customWidth="1"/>
    <col min="5" max="5" width="11.140625" style="2" customWidth="1"/>
    <col min="6" max="7" width="13.5703125" style="2" customWidth="1"/>
    <col min="8" max="8" width="24.28515625" style="2" customWidth="1"/>
    <col min="9" max="16384" width="9.140625" style="2"/>
  </cols>
  <sheetData>
    <row r="1" spans="1:11" ht="21.75" customHeight="1">
      <c r="A1" s="1041" t="s">
        <v>150</v>
      </c>
      <c r="B1" s="1041"/>
      <c r="C1" s="1142"/>
      <c r="D1" s="1041"/>
      <c r="E1" s="1041"/>
      <c r="F1" s="1041"/>
      <c r="G1" s="1041"/>
      <c r="H1" s="1041"/>
    </row>
    <row r="2" spans="1:11" ht="15.75">
      <c r="A2" s="1068" t="s">
        <v>149</v>
      </c>
      <c r="B2" s="1068"/>
      <c r="C2" s="1068"/>
      <c r="D2" s="1068"/>
      <c r="E2" s="1068"/>
      <c r="F2" s="1068"/>
      <c r="G2" s="1068"/>
      <c r="H2" s="1068"/>
    </row>
    <row r="3" spans="1:11" ht="18" customHeight="1">
      <c r="A3" s="1069">
        <v>2021</v>
      </c>
      <c r="B3" s="1069"/>
      <c r="C3" s="1069"/>
      <c r="D3" s="1069"/>
      <c r="E3" s="1069"/>
      <c r="F3" s="1069"/>
      <c r="G3" s="1069"/>
      <c r="H3" s="1069"/>
      <c r="I3" s="54"/>
      <c r="J3" s="54"/>
      <c r="K3" s="54"/>
    </row>
    <row r="4" spans="1:11" ht="15.75">
      <c r="A4" s="1069" t="s">
        <v>51</v>
      </c>
      <c r="B4" s="1069"/>
      <c r="C4" s="1069"/>
      <c r="D4" s="1069"/>
      <c r="E4" s="1069"/>
      <c r="F4" s="1069"/>
      <c r="G4" s="1069"/>
      <c r="H4" s="1069"/>
    </row>
    <row r="5" spans="1:11" ht="15.75">
      <c r="A5" s="362"/>
      <c r="B5" s="362"/>
      <c r="C5" s="362"/>
      <c r="D5" s="362"/>
      <c r="E5" s="362"/>
      <c r="F5" s="362"/>
      <c r="G5" s="362"/>
      <c r="H5" s="362"/>
    </row>
    <row r="6" spans="1:11" s="29" customFormat="1" ht="15.75">
      <c r="A6" s="374" t="s">
        <v>161</v>
      </c>
      <c r="B6" s="375"/>
      <c r="C6" s="375"/>
      <c r="D6" s="375"/>
      <c r="E6" s="375"/>
      <c r="F6" s="375"/>
      <c r="G6" s="375"/>
      <c r="H6" s="376" t="s">
        <v>160</v>
      </c>
    </row>
    <row r="7" spans="1:11" ht="26.25" customHeight="1" thickBot="1">
      <c r="A7" s="1131" t="s">
        <v>141</v>
      </c>
      <c r="B7" s="1119" t="s">
        <v>146</v>
      </c>
      <c r="C7" s="1119"/>
      <c r="D7" s="1119"/>
      <c r="E7" s="1119"/>
      <c r="F7" s="1119"/>
      <c r="G7" s="1119"/>
      <c r="H7" s="1138" t="s">
        <v>1075</v>
      </c>
    </row>
    <row r="8" spans="1:11" ht="40.5" customHeight="1">
      <c r="A8" s="1132"/>
      <c r="B8" s="328" t="s">
        <v>596</v>
      </c>
      <c r="C8" s="328">
        <v>1</v>
      </c>
      <c r="D8" s="328">
        <v>2</v>
      </c>
      <c r="E8" s="328">
        <v>3</v>
      </c>
      <c r="F8" s="331" t="s">
        <v>594</v>
      </c>
      <c r="G8" s="536" t="s">
        <v>595</v>
      </c>
      <c r="H8" s="1139"/>
    </row>
    <row r="9" spans="1:11" ht="17.25" customHeight="1" thickBot="1">
      <c r="A9" s="146" t="s">
        <v>426</v>
      </c>
      <c r="B9" s="342">
        <v>12</v>
      </c>
      <c r="C9" s="342">
        <v>0</v>
      </c>
      <c r="D9" s="342">
        <v>0</v>
      </c>
      <c r="E9" s="342">
        <v>0</v>
      </c>
      <c r="F9" s="342">
        <v>0</v>
      </c>
      <c r="G9" s="343">
        <v>12</v>
      </c>
      <c r="H9" s="144" t="s">
        <v>426</v>
      </c>
    </row>
    <row r="10" spans="1:11" ht="17.25" customHeight="1" thickBot="1">
      <c r="A10" s="147" t="s">
        <v>127</v>
      </c>
      <c r="B10" s="344">
        <v>211</v>
      </c>
      <c r="C10" s="344">
        <v>3</v>
      </c>
      <c r="D10" s="344">
        <v>0</v>
      </c>
      <c r="E10" s="344">
        <v>0</v>
      </c>
      <c r="F10" s="344">
        <v>0</v>
      </c>
      <c r="G10" s="343">
        <v>214</v>
      </c>
      <c r="H10" s="145" t="s">
        <v>127</v>
      </c>
    </row>
    <row r="11" spans="1:11" ht="17.25" customHeight="1" thickBot="1">
      <c r="A11" s="147" t="s">
        <v>126</v>
      </c>
      <c r="B11" s="344">
        <v>623</v>
      </c>
      <c r="C11" s="344">
        <v>11</v>
      </c>
      <c r="D11" s="344">
        <v>1</v>
      </c>
      <c r="E11" s="344">
        <v>0</v>
      </c>
      <c r="F11" s="344">
        <v>0</v>
      </c>
      <c r="G11" s="343">
        <v>635</v>
      </c>
      <c r="H11" s="145" t="s">
        <v>126</v>
      </c>
    </row>
    <row r="12" spans="1:11" ht="17.25" customHeight="1" thickBot="1">
      <c r="A12" s="147" t="s">
        <v>125</v>
      </c>
      <c r="B12" s="344">
        <v>534</v>
      </c>
      <c r="C12" s="344">
        <v>17</v>
      </c>
      <c r="D12" s="344">
        <v>0</v>
      </c>
      <c r="E12" s="344">
        <v>0</v>
      </c>
      <c r="F12" s="344">
        <v>0</v>
      </c>
      <c r="G12" s="343">
        <v>551</v>
      </c>
      <c r="H12" s="145" t="s">
        <v>125</v>
      </c>
    </row>
    <row r="13" spans="1:11" ht="17.25" customHeight="1" thickBot="1">
      <c r="A13" s="147" t="s">
        <v>124</v>
      </c>
      <c r="B13" s="344">
        <v>208</v>
      </c>
      <c r="C13" s="344">
        <v>46</v>
      </c>
      <c r="D13" s="344">
        <v>3</v>
      </c>
      <c r="E13" s="344">
        <v>0</v>
      </c>
      <c r="F13" s="344">
        <v>0</v>
      </c>
      <c r="G13" s="343">
        <v>257</v>
      </c>
      <c r="H13" s="145" t="s">
        <v>124</v>
      </c>
    </row>
    <row r="14" spans="1:11" ht="17.25" customHeight="1" thickBot="1">
      <c r="A14" s="147" t="s">
        <v>123</v>
      </c>
      <c r="B14" s="344">
        <v>96</v>
      </c>
      <c r="C14" s="344">
        <v>53</v>
      </c>
      <c r="D14" s="344">
        <v>0</v>
      </c>
      <c r="E14" s="344">
        <v>0</v>
      </c>
      <c r="F14" s="344">
        <v>0</v>
      </c>
      <c r="G14" s="343">
        <v>149</v>
      </c>
      <c r="H14" s="145" t="s">
        <v>123</v>
      </c>
    </row>
    <row r="15" spans="1:11" ht="17.25" customHeight="1" thickBot="1">
      <c r="A15" s="147" t="s">
        <v>122</v>
      </c>
      <c r="B15" s="344">
        <v>47</v>
      </c>
      <c r="C15" s="344">
        <v>18</v>
      </c>
      <c r="D15" s="344">
        <v>0</v>
      </c>
      <c r="E15" s="344">
        <v>0</v>
      </c>
      <c r="F15" s="344">
        <v>0</v>
      </c>
      <c r="G15" s="343">
        <v>65</v>
      </c>
      <c r="H15" s="145" t="s">
        <v>122</v>
      </c>
    </row>
    <row r="16" spans="1:11" ht="17.25" customHeight="1" thickBot="1">
      <c r="A16" s="147" t="s">
        <v>121</v>
      </c>
      <c r="B16" s="344">
        <v>30</v>
      </c>
      <c r="C16" s="344">
        <v>16</v>
      </c>
      <c r="D16" s="344">
        <v>0</v>
      </c>
      <c r="E16" s="344">
        <v>0</v>
      </c>
      <c r="F16" s="344">
        <v>0</v>
      </c>
      <c r="G16" s="343">
        <v>46</v>
      </c>
      <c r="H16" s="145" t="s">
        <v>121</v>
      </c>
    </row>
    <row r="17" spans="1:8" ht="17.25" customHeight="1" thickBot="1">
      <c r="A17" s="147" t="s">
        <v>120</v>
      </c>
      <c r="B17" s="344">
        <v>6</v>
      </c>
      <c r="C17" s="344">
        <v>8</v>
      </c>
      <c r="D17" s="344">
        <v>0</v>
      </c>
      <c r="E17" s="344">
        <v>0</v>
      </c>
      <c r="F17" s="344">
        <v>0</v>
      </c>
      <c r="G17" s="343">
        <v>14</v>
      </c>
      <c r="H17" s="145" t="s">
        <v>120</v>
      </c>
    </row>
    <row r="18" spans="1:8" ht="17.25" customHeight="1" thickBot="1">
      <c r="A18" s="147" t="s">
        <v>119</v>
      </c>
      <c r="B18" s="344">
        <v>5</v>
      </c>
      <c r="C18" s="344">
        <v>2</v>
      </c>
      <c r="D18" s="344">
        <v>0</v>
      </c>
      <c r="E18" s="344">
        <v>0</v>
      </c>
      <c r="F18" s="344">
        <v>0</v>
      </c>
      <c r="G18" s="343">
        <v>7</v>
      </c>
      <c r="H18" s="145" t="s">
        <v>119</v>
      </c>
    </row>
    <row r="19" spans="1:8" ht="17.25" customHeight="1" thickBot="1">
      <c r="A19" s="147" t="s">
        <v>118</v>
      </c>
      <c r="B19" s="344">
        <v>7</v>
      </c>
      <c r="C19" s="344">
        <v>0</v>
      </c>
      <c r="D19" s="344">
        <v>0</v>
      </c>
      <c r="E19" s="344">
        <v>0</v>
      </c>
      <c r="F19" s="344">
        <v>0</v>
      </c>
      <c r="G19" s="343">
        <v>7</v>
      </c>
      <c r="H19" s="145" t="s">
        <v>118</v>
      </c>
    </row>
    <row r="20" spans="1:8" ht="17.25" customHeight="1" thickBot="1">
      <c r="A20" s="147" t="s">
        <v>117</v>
      </c>
      <c r="B20" s="344">
        <v>1</v>
      </c>
      <c r="C20" s="344">
        <v>0</v>
      </c>
      <c r="D20" s="344">
        <v>0</v>
      </c>
      <c r="E20" s="344">
        <v>0</v>
      </c>
      <c r="F20" s="344">
        <v>0</v>
      </c>
      <c r="G20" s="343">
        <v>1</v>
      </c>
      <c r="H20" s="145" t="s">
        <v>117</v>
      </c>
    </row>
    <row r="21" spans="1:8" ht="17.25" customHeight="1" thickBot="1">
      <c r="A21" s="147" t="s">
        <v>116</v>
      </c>
      <c r="B21" s="344">
        <v>2</v>
      </c>
      <c r="C21" s="344">
        <v>0</v>
      </c>
      <c r="D21" s="344">
        <v>0</v>
      </c>
      <c r="E21" s="344">
        <v>0</v>
      </c>
      <c r="F21" s="344">
        <v>0</v>
      </c>
      <c r="G21" s="343">
        <v>2</v>
      </c>
      <c r="H21" s="145" t="s">
        <v>116</v>
      </c>
    </row>
    <row r="22" spans="1:8" ht="17.25" customHeight="1">
      <c r="A22" s="148" t="s">
        <v>14</v>
      </c>
      <c r="B22" s="345">
        <v>1</v>
      </c>
      <c r="C22" s="345">
        <v>0</v>
      </c>
      <c r="D22" s="345">
        <v>0</v>
      </c>
      <c r="E22" s="345">
        <v>0</v>
      </c>
      <c r="F22" s="345">
        <v>0</v>
      </c>
      <c r="G22" s="441">
        <v>1</v>
      </c>
      <c r="H22" s="149" t="s">
        <v>15</v>
      </c>
    </row>
    <row r="23" spans="1:8" ht="21.95" customHeight="1" thickBot="1">
      <c r="A23" s="977" t="s">
        <v>16</v>
      </c>
      <c r="B23" s="978">
        <f>SUBTOTAL(109,Table_Default__XLS_TAB_12_2[NO_WIFE_0])</f>
        <v>1783</v>
      </c>
      <c r="C23" s="978">
        <f>SUBTOTAL(109,Table_Default__XLS_TAB_12_2[NO_WIFE_1])</f>
        <v>174</v>
      </c>
      <c r="D23" s="978">
        <f>SUBTOTAL(109,Table_Default__XLS_TAB_12_2[NO_WIFE_2])</f>
        <v>4</v>
      </c>
      <c r="E23" s="978">
        <f>SUBTOTAL(109,Table_Default__XLS_TAB_12_2[NO_WIFE_3])</f>
        <v>0</v>
      </c>
      <c r="F23" s="979">
        <f>SUBTOTAL(109,Table_Default__XLS_TAB_12_2[NO_WIFE_NOT_STATED])</f>
        <v>0</v>
      </c>
      <c r="G23" s="978">
        <f>SUBTOTAL(109,Table_Default__XLS_TAB_12_2[TOTAL])</f>
        <v>1961</v>
      </c>
      <c r="H23" s="980" t="s">
        <v>55</v>
      </c>
    </row>
    <row r="24" spans="1:8" ht="19.5" customHeight="1">
      <c r="A24" s="507" t="s">
        <v>144</v>
      </c>
      <c r="B24" s="508">
        <f>B23/$G$23%</f>
        <v>90.922998470168281</v>
      </c>
      <c r="C24" s="508">
        <f>C23/$G$23%</f>
        <v>8.87302396736359</v>
      </c>
      <c r="D24" s="508">
        <f>D23/$G$23%</f>
        <v>0.20397756246812851</v>
      </c>
      <c r="E24" s="508">
        <f>E23/$G$23%</f>
        <v>0</v>
      </c>
      <c r="F24" s="508">
        <f>F23/$G$23%</f>
        <v>0</v>
      </c>
      <c r="G24" s="508">
        <f>SUM(B24:F24)</f>
        <v>100</v>
      </c>
      <c r="H24" s="773"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24"/>
  <sheetViews>
    <sheetView rightToLeft="1" view="pageBreakPreview" topLeftCell="A7" zoomScaleNormal="100" zoomScaleSheetLayoutView="100" workbookViewId="0">
      <selection activeCell="G24" sqref="G24"/>
    </sheetView>
  </sheetViews>
  <sheetFormatPr defaultColWidth="9.140625" defaultRowHeight="12.75"/>
  <cols>
    <col min="1" max="1" width="24.28515625" style="2" customWidth="1"/>
    <col min="2" max="4" width="13.7109375" style="2" customWidth="1"/>
    <col min="5" max="5" width="11.140625" style="2" customWidth="1"/>
    <col min="6" max="7" width="13.5703125" style="2" customWidth="1"/>
    <col min="8" max="8" width="24.28515625" style="2" customWidth="1"/>
    <col min="9" max="16384" width="9.140625" style="2"/>
  </cols>
  <sheetData>
    <row r="1" spans="1:11" ht="21.75" customHeight="1">
      <c r="A1" s="1041" t="s">
        <v>150</v>
      </c>
      <c r="B1" s="1041"/>
      <c r="C1" s="1142"/>
      <c r="D1" s="1041"/>
      <c r="E1" s="1041"/>
      <c r="F1" s="1041"/>
      <c r="G1" s="1041"/>
      <c r="H1" s="1041"/>
    </row>
    <row r="2" spans="1:11" ht="15.75">
      <c r="A2" s="1068" t="s">
        <v>149</v>
      </c>
      <c r="B2" s="1068"/>
      <c r="C2" s="1068"/>
      <c r="D2" s="1068"/>
      <c r="E2" s="1068"/>
      <c r="F2" s="1068"/>
      <c r="G2" s="1068"/>
      <c r="H2" s="1068"/>
    </row>
    <row r="3" spans="1:11" ht="18" customHeight="1">
      <c r="A3" s="1069">
        <v>2021</v>
      </c>
      <c r="B3" s="1069"/>
      <c r="C3" s="1069"/>
      <c r="D3" s="1069"/>
      <c r="E3" s="1069"/>
      <c r="F3" s="1069"/>
      <c r="G3" s="1069"/>
      <c r="H3" s="1069"/>
      <c r="I3" s="54"/>
      <c r="J3" s="54"/>
      <c r="K3" s="54"/>
    </row>
    <row r="4" spans="1:11" ht="15.75">
      <c r="A4" s="1069" t="s">
        <v>1</v>
      </c>
      <c r="B4" s="1069"/>
      <c r="C4" s="1069"/>
      <c r="D4" s="1069"/>
      <c r="E4" s="1069"/>
      <c r="F4" s="1069"/>
      <c r="G4" s="1069"/>
      <c r="H4" s="1069"/>
    </row>
    <row r="5" spans="1:11" ht="15.75">
      <c r="A5" s="362"/>
      <c r="B5" s="362"/>
      <c r="C5" s="362"/>
      <c r="D5" s="362"/>
      <c r="E5" s="362"/>
      <c r="F5" s="362"/>
      <c r="G5" s="362"/>
      <c r="H5" s="362"/>
    </row>
    <row r="6" spans="1:11" s="29" customFormat="1" ht="15.75">
      <c r="A6" s="374" t="s">
        <v>163</v>
      </c>
      <c r="B6" s="375"/>
      <c r="C6" s="375"/>
      <c r="D6" s="375"/>
      <c r="E6" s="375"/>
      <c r="F6" s="375"/>
      <c r="G6" s="375"/>
      <c r="H6" s="376" t="s">
        <v>162</v>
      </c>
    </row>
    <row r="7" spans="1:11" ht="26.25" customHeight="1" thickBot="1">
      <c r="A7" s="1131" t="s">
        <v>141</v>
      </c>
      <c r="B7" s="1119" t="s">
        <v>146</v>
      </c>
      <c r="C7" s="1119"/>
      <c r="D7" s="1119"/>
      <c r="E7" s="1119"/>
      <c r="F7" s="1119"/>
      <c r="G7" s="1119"/>
      <c r="H7" s="1138" t="s">
        <v>1075</v>
      </c>
    </row>
    <row r="8" spans="1:11" ht="40.5" customHeight="1">
      <c r="A8" s="1132"/>
      <c r="B8" s="328" t="s">
        <v>596</v>
      </c>
      <c r="C8" s="328">
        <v>1</v>
      </c>
      <c r="D8" s="328">
        <v>2</v>
      </c>
      <c r="E8" s="328">
        <v>3</v>
      </c>
      <c r="F8" s="331" t="s">
        <v>594</v>
      </c>
      <c r="G8" s="536" t="s">
        <v>595</v>
      </c>
      <c r="H8" s="1139"/>
    </row>
    <row r="9" spans="1:11" ht="17.25" customHeight="1" thickBot="1">
      <c r="A9" s="786" t="s">
        <v>426</v>
      </c>
      <c r="B9" s="346">
        <v>39</v>
      </c>
      <c r="C9" s="346">
        <v>0</v>
      </c>
      <c r="D9" s="346">
        <v>0</v>
      </c>
      <c r="E9" s="346">
        <v>0</v>
      </c>
      <c r="F9" s="346">
        <v>0</v>
      </c>
      <c r="G9" s="499">
        <v>39</v>
      </c>
      <c r="H9" s="787" t="s">
        <v>426</v>
      </c>
    </row>
    <row r="10" spans="1:11" ht="17.25" customHeight="1" thickBot="1">
      <c r="A10" s="147" t="s">
        <v>127</v>
      </c>
      <c r="B10" s="344">
        <v>731</v>
      </c>
      <c r="C10" s="344">
        <v>6</v>
      </c>
      <c r="D10" s="344">
        <v>0</v>
      </c>
      <c r="E10" s="344">
        <v>0</v>
      </c>
      <c r="F10" s="344">
        <v>0</v>
      </c>
      <c r="G10" s="499">
        <v>737</v>
      </c>
      <c r="H10" s="145" t="s">
        <v>127</v>
      </c>
    </row>
    <row r="11" spans="1:11" ht="17.25" customHeight="1" thickBot="1">
      <c r="A11" s="147" t="s">
        <v>126</v>
      </c>
      <c r="B11" s="344">
        <v>1636</v>
      </c>
      <c r="C11" s="344">
        <v>19</v>
      </c>
      <c r="D11" s="344">
        <v>1</v>
      </c>
      <c r="E11" s="344">
        <v>0</v>
      </c>
      <c r="F11" s="344">
        <v>0</v>
      </c>
      <c r="G11" s="499">
        <v>1656</v>
      </c>
      <c r="H11" s="145" t="s">
        <v>126</v>
      </c>
    </row>
    <row r="12" spans="1:11" ht="17.25" customHeight="1" thickBot="1">
      <c r="A12" s="147" t="s">
        <v>125</v>
      </c>
      <c r="B12" s="344">
        <v>936</v>
      </c>
      <c r="C12" s="344">
        <v>31</v>
      </c>
      <c r="D12" s="344">
        <v>0</v>
      </c>
      <c r="E12" s="344">
        <v>0</v>
      </c>
      <c r="F12" s="344">
        <v>0</v>
      </c>
      <c r="G12" s="499">
        <v>967</v>
      </c>
      <c r="H12" s="145" t="s">
        <v>125</v>
      </c>
    </row>
    <row r="13" spans="1:11" ht="17.25" customHeight="1" thickBot="1">
      <c r="A13" s="147" t="s">
        <v>124</v>
      </c>
      <c r="B13" s="344">
        <v>350</v>
      </c>
      <c r="C13" s="344">
        <v>68</v>
      </c>
      <c r="D13" s="344">
        <v>4</v>
      </c>
      <c r="E13" s="344">
        <v>0</v>
      </c>
      <c r="F13" s="344">
        <v>0</v>
      </c>
      <c r="G13" s="499">
        <v>422</v>
      </c>
      <c r="H13" s="145" t="s">
        <v>124</v>
      </c>
    </row>
    <row r="14" spans="1:11" ht="17.25" customHeight="1" thickBot="1">
      <c r="A14" s="147" t="s">
        <v>123</v>
      </c>
      <c r="B14" s="344">
        <v>176</v>
      </c>
      <c r="C14" s="344">
        <v>80</v>
      </c>
      <c r="D14" s="344">
        <v>1</v>
      </c>
      <c r="E14" s="344">
        <v>1</v>
      </c>
      <c r="F14" s="344">
        <v>0</v>
      </c>
      <c r="G14" s="499">
        <v>258</v>
      </c>
      <c r="H14" s="145" t="s">
        <v>123</v>
      </c>
    </row>
    <row r="15" spans="1:11" ht="17.25" customHeight="1" thickBot="1">
      <c r="A15" s="147" t="s">
        <v>122</v>
      </c>
      <c r="B15" s="344">
        <v>89</v>
      </c>
      <c r="C15" s="344">
        <v>42</v>
      </c>
      <c r="D15" s="344">
        <v>1</v>
      </c>
      <c r="E15" s="344">
        <v>0</v>
      </c>
      <c r="F15" s="344">
        <v>0</v>
      </c>
      <c r="G15" s="499">
        <v>132</v>
      </c>
      <c r="H15" s="145" t="s">
        <v>122</v>
      </c>
    </row>
    <row r="16" spans="1:11" ht="17.25" customHeight="1" thickBot="1">
      <c r="A16" s="147" t="s">
        <v>121</v>
      </c>
      <c r="B16" s="344">
        <v>54</v>
      </c>
      <c r="C16" s="344">
        <v>38</v>
      </c>
      <c r="D16" s="344">
        <v>2</v>
      </c>
      <c r="E16" s="344">
        <v>0</v>
      </c>
      <c r="F16" s="344">
        <v>0</v>
      </c>
      <c r="G16" s="499">
        <v>94</v>
      </c>
      <c r="H16" s="145" t="s">
        <v>121</v>
      </c>
    </row>
    <row r="17" spans="1:8" ht="17.25" customHeight="1" thickBot="1">
      <c r="A17" s="147" t="s">
        <v>120</v>
      </c>
      <c r="B17" s="344">
        <v>26</v>
      </c>
      <c r="C17" s="344">
        <v>19</v>
      </c>
      <c r="D17" s="344">
        <v>0</v>
      </c>
      <c r="E17" s="344">
        <v>1</v>
      </c>
      <c r="F17" s="344">
        <v>0</v>
      </c>
      <c r="G17" s="499">
        <v>46</v>
      </c>
      <c r="H17" s="145" t="s">
        <v>120</v>
      </c>
    </row>
    <row r="18" spans="1:8" ht="17.25" customHeight="1" thickBot="1">
      <c r="A18" s="147" t="s">
        <v>119</v>
      </c>
      <c r="B18" s="344">
        <v>12</v>
      </c>
      <c r="C18" s="344">
        <v>7</v>
      </c>
      <c r="D18" s="344">
        <v>0</v>
      </c>
      <c r="E18" s="344">
        <v>0</v>
      </c>
      <c r="F18" s="344">
        <v>0</v>
      </c>
      <c r="G18" s="499">
        <v>19</v>
      </c>
      <c r="H18" s="145" t="s">
        <v>119</v>
      </c>
    </row>
    <row r="19" spans="1:8" ht="17.25" customHeight="1" thickBot="1">
      <c r="A19" s="147" t="s">
        <v>118</v>
      </c>
      <c r="B19" s="344">
        <v>11</v>
      </c>
      <c r="C19" s="344">
        <v>3</v>
      </c>
      <c r="D19" s="344">
        <v>0</v>
      </c>
      <c r="E19" s="344">
        <v>0</v>
      </c>
      <c r="F19" s="344">
        <v>0</v>
      </c>
      <c r="G19" s="499">
        <v>14</v>
      </c>
      <c r="H19" s="145" t="s">
        <v>118</v>
      </c>
    </row>
    <row r="20" spans="1:8" ht="17.25" customHeight="1" thickBot="1">
      <c r="A20" s="147" t="s">
        <v>117</v>
      </c>
      <c r="B20" s="344">
        <v>1</v>
      </c>
      <c r="C20" s="344">
        <v>0</v>
      </c>
      <c r="D20" s="344">
        <v>0</v>
      </c>
      <c r="E20" s="344">
        <v>0</v>
      </c>
      <c r="F20" s="344">
        <v>0</v>
      </c>
      <c r="G20" s="499">
        <v>1</v>
      </c>
      <c r="H20" s="145" t="s">
        <v>117</v>
      </c>
    </row>
    <row r="21" spans="1:8" ht="17.25" customHeight="1" thickBot="1">
      <c r="A21" s="147" t="s">
        <v>116</v>
      </c>
      <c r="B21" s="344">
        <v>2</v>
      </c>
      <c r="C21" s="344">
        <v>0</v>
      </c>
      <c r="D21" s="344">
        <v>1</v>
      </c>
      <c r="E21" s="344">
        <v>0</v>
      </c>
      <c r="F21" s="344">
        <v>0</v>
      </c>
      <c r="G21" s="499">
        <v>3</v>
      </c>
      <c r="H21" s="145" t="s">
        <v>116</v>
      </c>
    </row>
    <row r="22" spans="1:8" ht="17.25" customHeight="1">
      <c r="A22" s="148" t="s">
        <v>14</v>
      </c>
      <c r="B22" s="345">
        <v>2</v>
      </c>
      <c r="C22" s="345">
        <v>0</v>
      </c>
      <c r="D22" s="345">
        <v>0</v>
      </c>
      <c r="E22" s="345">
        <v>0</v>
      </c>
      <c r="F22" s="345">
        <v>0</v>
      </c>
      <c r="G22" s="500">
        <v>2</v>
      </c>
      <c r="H22" s="149" t="s">
        <v>15</v>
      </c>
    </row>
    <row r="23" spans="1:8" ht="21.95" customHeight="1" thickBot="1">
      <c r="A23" s="977" t="s">
        <v>16</v>
      </c>
      <c r="B23" s="978">
        <f>SUBTOTAL(109,Table_Default__XLS_TAB_12_3[NO_WIFE_0])</f>
        <v>4065</v>
      </c>
      <c r="C23" s="978">
        <f>SUBTOTAL(109,Table_Default__XLS_TAB_12_3[NO_WIFE_1])</f>
        <v>313</v>
      </c>
      <c r="D23" s="978">
        <f>SUBTOTAL(109,Table_Default__XLS_TAB_12_3[NO_WIFE_2])</f>
        <v>10</v>
      </c>
      <c r="E23" s="978">
        <f>SUBTOTAL(109,Table_Default__XLS_TAB_12_3[NO_WIFE_3])</f>
        <v>2</v>
      </c>
      <c r="F23" s="979">
        <f>SUBTOTAL(109,Table_Default__XLS_TAB_12_3[NO_WIFE_NOT_STATED])</f>
        <v>0</v>
      </c>
      <c r="G23" s="978">
        <f>SUBTOTAL(109,Table_Default__XLS_TAB_12_3[TOTAL])</f>
        <v>4390</v>
      </c>
      <c r="H23" s="980" t="s">
        <v>55</v>
      </c>
    </row>
    <row r="24" spans="1:8" ht="19.5" customHeight="1">
      <c r="A24" s="92" t="s">
        <v>144</v>
      </c>
      <c r="B24" s="508">
        <f>B23/$G$23%</f>
        <v>92.596810933940773</v>
      </c>
      <c r="C24" s="508">
        <f>C23/$G$23%</f>
        <v>7.1298405466970394</v>
      </c>
      <c r="D24" s="508">
        <f>D23/$G$23%</f>
        <v>0.22779043280182232</v>
      </c>
      <c r="E24" s="508">
        <f>E23/$G$23%</f>
        <v>4.5558086560364468E-2</v>
      </c>
      <c r="F24" s="508">
        <f>F23/$G$23%</f>
        <v>0</v>
      </c>
      <c r="G24" s="508">
        <f>SUM(B24:F24)</f>
        <v>100</v>
      </c>
      <c r="H24" s="779"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24"/>
  <sheetViews>
    <sheetView rightToLeft="1" view="pageBreakPreview" topLeftCell="A4" zoomScaleNormal="100" zoomScaleSheetLayoutView="100" workbookViewId="0">
      <selection activeCell="F26" sqref="F26"/>
    </sheetView>
  </sheetViews>
  <sheetFormatPr defaultColWidth="9.140625" defaultRowHeight="12.75"/>
  <cols>
    <col min="1" max="1" width="24.28515625" style="1" customWidth="1"/>
    <col min="2" max="2" width="16" style="1" customWidth="1"/>
    <col min="3" max="3" width="11.7109375" style="1" customWidth="1"/>
    <col min="4" max="4" width="12.85546875" style="1" customWidth="1"/>
    <col min="5" max="5" width="12.7109375" style="1" customWidth="1"/>
    <col min="6" max="7" width="13.5703125" style="1" customWidth="1"/>
    <col min="8" max="8" width="24.28515625" style="1" customWidth="1"/>
    <col min="9" max="16384" width="9.140625" style="1"/>
  </cols>
  <sheetData>
    <row r="1" spans="1:12" s="2" customFormat="1" ht="21.75" customHeight="1">
      <c r="A1" s="1041" t="s">
        <v>159</v>
      </c>
      <c r="B1" s="1041"/>
      <c r="C1" s="1142"/>
      <c r="D1" s="1041"/>
      <c r="E1" s="1041"/>
      <c r="F1" s="1041"/>
      <c r="G1" s="1041"/>
      <c r="H1" s="1041"/>
    </row>
    <row r="2" spans="1:12" s="2" customFormat="1" ht="15.75">
      <c r="A2" s="1068" t="s">
        <v>158</v>
      </c>
      <c r="B2" s="1068"/>
      <c r="C2" s="1068"/>
      <c r="D2" s="1068"/>
      <c r="E2" s="1068"/>
      <c r="F2" s="1068"/>
      <c r="G2" s="1068"/>
      <c r="H2" s="1068"/>
    </row>
    <row r="3" spans="1:12" s="2" customFormat="1" ht="18" customHeight="1">
      <c r="A3" s="1069">
        <v>2021</v>
      </c>
      <c r="B3" s="1069"/>
      <c r="C3" s="1069"/>
      <c r="D3" s="1069"/>
      <c r="E3" s="1069"/>
      <c r="F3" s="1069"/>
      <c r="G3" s="1069"/>
      <c r="H3" s="1069"/>
      <c r="I3" s="54"/>
      <c r="J3" s="54"/>
      <c r="K3" s="54"/>
      <c r="L3" s="54"/>
    </row>
    <row r="4" spans="1:12" s="2" customFormat="1" ht="15.75">
      <c r="A4" s="1069" t="s">
        <v>52</v>
      </c>
      <c r="B4" s="1069"/>
      <c r="C4" s="1069"/>
      <c r="D4" s="1069"/>
      <c r="E4" s="1069"/>
      <c r="F4" s="1069"/>
      <c r="G4" s="1069"/>
      <c r="H4" s="1069"/>
    </row>
    <row r="5" spans="1:12" s="2" customFormat="1" ht="15.75">
      <c r="A5" s="362"/>
      <c r="B5" s="362"/>
      <c r="C5" s="362"/>
      <c r="D5" s="362"/>
      <c r="E5" s="362"/>
      <c r="F5" s="362"/>
      <c r="G5" s="362"/>
      <c r="H5" s="362"/>
    </row>
    <row r="6" spans="1:12" s="29" customFormat="1" ht="15.75">
      <c r="A6" s="374" t="s">
        <v>166</v>
      </c>
      <c r="B6" s="375"/>
      <c r="C6" s="375"/>
      <c r="D6" s="375"/>
      <c r="E6" s="375"/>
      <c r="F6" s="375"/>
      <c r="G6" s="375"/>
      <c r="H6" s="376" t="s">
        <v>165</v>
      </c>
    </row>
    <row r="7" spans="1:12" ht="26.25" customHeight="1" thickBot="1">
      <c r="A7" s="1131" t="s">
        <v>141</v>
      </c>
      <c r="B7" s="1119" t="s">
        <v>155</v>
      </c>
      <c r="C7" s="1119"/>
      <c r="D7" s="1119"/>
      <c r="E7" s="1119"/>
      <c r="F7" s="1119"/>
      <c r="G7" s="1119"/>
      <c r="H7" s="1138" t="s">
        <v>1077</v>
      </c>
    </row>
    <row r="8" spans="1:12" ht="44.25" customHeight="1">
      <c r="A8" s="1132"/>
      <c r="B8" s="328" t="s">
        <v>597</v>
      </c>
      <c r="C8" s="328" t="s">
        <v>598</v>
      </c>
      <c r="D8" s="328" t="s">
        <v>599</v>
      </c>
      <c r="E8" s="328" t="s">
        <v>600</v>
      </c>
      <c r="F8" s="328" t="s">
        <v>601</v>
      </c>
      <c r="G8" s="329" t="s">
        <v>595</v>
      </c>
      <c r="H8" s="1139"/>
    </row>
    <row r="9" spans="1:12" ht="16.5" thickBot="1">
      <c r="A9" s="158" t="s">
        <v>426</v>
      </c>
      <c r="B9" s="346">
        <v>27</v>
      </c>
      <c r="C9" s="346">
        <v>0</v>
      </c>
      <c r="D9" s="346">
        <v>0</v>
      </c>
      <c r="E9" s="346">
        <v>0</v>
      </c>
      <c r="F9" s="346">
        <v>0</v>
      </c>
      <c r="G9" s="499">
        <v>27</v>
      </c>
      <c r="H9" s="159" t="s">
        <v>426</v>
      </c>
    </row>
    <row r="10" spans="1:12" ht="16.5" thickBot="1">
      <c r="A10" s="152" t="s">
        <v>127</v>
      </c>
      <c r="B10" s="344">
        <v>499</v>
      </c>
      <c r="C10" s="344">
        <v>3</v>
      </c>
      <c r="D10" s="344">
        <v>21</v>
      </c>
      <c r="E10" s="344">
        <v>0</v>
      </c>
      <c r="F10" s="344">
        <v>0</v>
      </c>
      <c r="G10" s="499">
        <v>523</v>
      </c>
      <c r="H10" s="153" t="s">
        <v>127</v>
      </c>
    </row>
    <row r="11" spans="1:12" ht="16.5" thickBot="1">
      <c r="A11" s="152" t="s">
        <v>126</v>
      </c>
      <c r="B11" s="344">
        <v>868</v>
      </c>
      <c r="C11" s="344">
        <v>8</v>
      </c>
      <c r="D11" s="344">
        <v>145</v>
      </c>
      <c r="E11" s="344">
        <v>0</v>
      </c>
      <c r="F11" s="344">
        <v>0</v>
      </c>
      <c r="G11" s="499">
        <v>1021</v>
      </c>
      <c r="H11" s="153" t="s">
        <v>126</v>
      </c>
    </row>
    <row r="12" spans="1:12" ht="16.5" thickBot="1">
      <c r="A12" s="152" t="s">
        <v>125</v>
      </c>
      <c r="B12" s="344">
        <v>283</v>
      </c>
      <c r="C12" s="344">
        <v>14</v>
      </c>
      <c r="D12" s="344">
        <v>119</v>
      </c>
      <c r="E12" s="344">
        <v>0</v>
      </c>
      <c r="F12" s="344">
        <v>0</v>
      </c>
      <c r="G12" s="499">
        <v>416</v>
      </c>
      <c r="H12" s="153" t="s">
        <v>125</v>
      </c>
    </row>
    <row r="13" spans="1:12" ht="16.5" thickBot="1">
      <c r="A13" s="152" t="s">
        <v>124</v>
      </c>
      <c r="B13" s="344">
        <v>63</v>
      </c>
      <c r="C13" s="344">
        <v>23</v>
      </c>
      <c r="D13" s="344">
        <v>78</v>
      </c>
      <c r="E13" s="344">
        <v>1</v>
      </c>
      <c r="F13" s="344">
        <v>0</v>
      </c>
      <c r="G13" s="499">
        <v>165</v>
      </c>
      <c r="H13" s="153" t="s">
        <v>124</v>
      </c>
    </row>
    <row r="14" spans="1:12" ht="16.5" thickBot="1">
      <c r="A14" s="152" t="s">
        <v>123</v>
      </c>
      <c r="B14" s="344">
        <v>32</v>
      </c>
      <c r="C14" s="344">
        <v>29</v>
      </c>
      <c r="D14" s="344">
        <v>47</v>
      </c>
      <c r="E14" s="344">
        <v>1</v>
      </c>
      <c r="F14" s="344">
        <v>0</v>
      </c>
      <c r="G14" s="499">
        <v>109</v>
      </c>
      <c r="H14" s="153" t="s">
        <v>123</v>
      </c>
    </row>
    <row r="15" spans="1:12" ht="16.5" thickBot="1">
      <c r="A15" s="152" t="s">
        <v>122</v>
      </c>
      <c r="B15" s="344">
        <v>13</v>
      </c>
      <c r="C15" s="344">
        <v>25</v>
      </c>
      <c r="D15" s="344">
        <v>26</v>
      </c>
      <c r="E15" s="344">
        <v>3</v>
      </c>
      <c r="F15" s="344">
        <v>0</v>
      </c>
      <c r="G15" s="499">
        <v>67</v>
      </c>
      <c r="H15" s="153" t="s">
        <v>122</v>
      </c>
    </row>
    <row r="16" spans="1:12" ht="16.5" thickBot="1">
      <c r="A16" s="152" t="s">
        <v>121</v>
      </c>
      <c r="B16" s="344">
        <v>6</v>
      </c>
      <c r="C16" s="344">
        <v>24</v>
      </c>
      <c r="D16" s="344">
        <v>14</v>
      </c>
      <c r="E16" s="344">
        <v>4</v>
      </c>
      <c r="F16" s="344">
        <v>0</v>
      </c>
      <c r="G16" s="499">
        <v>48</v>
      </c>
      <c r="H16" s="153" t="s">
        <v>121</v>
      </c>
    </row>
    <row r="17" spans="1:8" ht="16.5" thickBot="1">
      <c r="A17" s="152" t="s">
        <v>120</v>
      </c>
      <c r="B17" s="344">
        <v>6</v>
      </c>
      <c r="C17" s="344">
        <v>12</v>
      </c>
      <c r="D17" s="344">
        <v>12</v>
      </c>
      <c r="E17" s="344">
        <v>2</v>
      </c>
      <c r="F17" s="344">
        <v>0</v>
      </c>
      <c r="G17" s="499">
        <v>32</v>
      </c>
      <c r="H17" s="153" t="s">
        <v>120</v>
      </c>
    </row>
    <row r="18" spans="1:8" ht="16.5" thickBot="1">
      <c r="A18" s="152" t="s">
        <v>119</v>
      </c>
      <c r="B18" s="344">
        <v>3</v>
      </c>
      <c r="C18" s="344">
        <v>5</v>
      </c>
      <c r="D18" s="344">
        <v>3</v>
      </c>
      <c r="E18" s="344">
        <v>1</v>
      </c>
      <c r="F18" s="344">
        <v>0</v>
      </c>
      <c r="G18" s="499">
        <v>12</v>
      </c>
      <c r="H18" s="153" t="s">
        <v>119</v>
      </c>
    </row>
    <row r="19" spans="1:8" ht="16.5" thickBot="1">
      <c r="A19" s="152" t="s">
        <v>118</v>
      </c>
      <c r="B19" s="344">
        <v>1</v>
      </c>
      <c r="C19" s="344">
        <v>3</v>
      </c>
      <c r="D19" s="344">
        <v>3</v>
      </c>
      <c r="E19" s="344">
        <v>0</v>
      </c>
      <c r="F19" s="344">
        <v>0</v>
      </c>
      <c r="G19" s="499">
        <v>7</v>
      </c>
      <c r="H19" s="153" t="s">
        <v>118</v>
      </c>
    </row>
    <row r="20" spans="1:8" ht="16.5" thickBot="1">
      <c r="A20" s="152" t="s">
        <v>117</v>
      </c>
      <c r="B20" s="344">
        <v>0</v>
      </c>
      <c r="C20" s="344">
        <v>0</v>
      </c>
      <c r="D20" s="344">
        <v>0</v>
      </c>
      <c r="E20" s="344">
        <v>0</v>
      </c>
      <c r="F20" s="344">
        <v>0</v>
      </c>
      <c r="G20" s="499">
        <v>0</v>
      </c>
      <c r="H20" s="153" t="s">
        <v>117</v>
      </c>
    </row>
    <row r="21" spans="1:8" ht="16.5" thickBot="1">
      <c r="A21" s="152" t="s">
        <v>116</v>
      </c>
      <c r="B21" s="344">
        <v>0</v>
      </c>
      <c r="C21" s="344">
        <v>1</v>
      </c>
      <c r="D21" s="344">
        <v>0</v>
      </c>
      <c r="E21" s="344">
        <v>0</v>
      </c>
      <c r="F21" s="344">
        <v>0</v>
      </c>
      <c r="G21" s="499">
        <v>1</v>
      </c>
      <c r="H21" s="153" t="s">
        <v>116</v>
      </c>
    </row>
    <row r="22" spans="1:8" ht="15.75">
      <c r="A22" s="154" t="s">
        <v>14</v>
      </c>
      <c r="B22" s="345">
        <v>1</v>
      </c>
      <c r="C22" s="345">
        <v>0</v>
      </c>
      <c r="D22" s="345">
        <v>0</v>
      </c>
      <c r="E22" s="345">
        <v>0</v>
      </c>
      <c r="F22" s="345">
        <v>0</v>
      </c>
      <c r="G22" s="500">
        <v>1</v>
      </c>
      <c r="H22" s="155" t="s">
        <v>15</v>
      </c>
    </row>
    <row r="23" spans="1:8" ht="21.95" customHeight="1" thickBot="1">
      <c r="A23" s="977" t="s">
        <v>16</v>
      </c>
      <c r="B23" s="978">
        <f>SUBTOTAL(109,Table_Default__XLS_TAB_13_1[NEVER_MARR])</f>
        <v>1802</v>
      </c>
      <c r="C23" s="978">
        <f>SUBTOTAL(109,Table_Default__XLS_TAB_13_1[MARRIED])</f>
        <v>147</v>
      </c>
      <c r="D23" s="978">
        <f>SUBTOTAL(109,Table_Default__XLS_TAB_13_1[DIVORCES])</f>
        <v>468</v>
      </c>
      <c r="E23" s="978">
        <f>SUBTOTAL(109,Table_Default__XLS_TAB_13_1[WIDOWED])</f>
        <v>12</v>
      </c>
      <c r="F23" s="979">
        <f>SUBTOTAL(109,Table_Default__XLS_TAB_13_1[NOT_STATED])</f>
        <v>0</v>
      </c>
      <c r="G23" s="978">
        <f>SUBTOTAL(109,Table_Default__XLS_TAB_13_1[TOTAL])</f>
        <v>2429</v>
      </c>
      <c r="H23" s="980" t="s">
        <v>55</v>
      </c>
    </row>
    <row r="24" spans="1:8" ht="19.5" customHeight="1">
      <c r="A24" s="526" t="s">
        <v>144</v>
      </c>
      <c r="B24" s="527">
        <f>B23/$G$23%</f>
        <v>74.186908192671879</v>
      </c>
      <c r="C24" s="527">
        <f>C23/$G$23%</f>
        <v>6.0518731988472627</v>
      </c>
      <c r="D24" s="527">
        <f>D23/$G$23%</f>
        <v>19.267188143268836</v>
      </c>
      <c r="E24" s="527">
        <f>E23/$G$23%</f>
        <v>0.49403046521202143</v>
      </c>
      <c r="F24" s="527">
        <f>F23/$G$23%</f>
        <v>0</v>
      </c>
      <c r="G24" s="527">
        <f>SUM(B24:F24)</f>
        <v>100</v>
      </c>
      <c r="H24" s="773"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24"/>
  <sheetViews>
    <sheetView rightToLeft="1" view="pageBreakPreview" topLeftCell="A7" zoomScaleNormal="100" zoomScaleSheetLayoutView="100" workbookViewId="0">
      <selection activeCell="G24" sqref="G24"/>
    </sheetView>
  </sheetViews>
  <sheetFormatPr defaultColWidth="9.140625" defaultRowHeight="12.75"/>
  <cols>
    <col min="1" max="1" width="24.28515625" style="1" customWidth="1"/>
    <col min="2" max="2" width="16" style="1" customWidth="1"/>
    <col min="3" max="3" width="11.7109375" style="1" customWidth="1"/>
    <col min="4" max="4" width="12.85546875" style="1" customWidth="1"/>
    <col min="5" max="5" width="12.7109375" style="1" customWidth="1"/>
    <col min="6" max="7" width="13.5703125" style="1" customWidth="1"/>
    <col min="8" max="8" width="24.28515625" style="1" customWidth="1"/>
    <col min="9" max="16384" width="9.140625" style="1"/>
  </cols>
  <sheetData>
    <row r="1" spans="1:12" s="2" customFormat="1" ht="21.75" customHeight="1">
      <c r="A1" s="1041" t="s">
        <v>159</v>
      </c>
      <c r="B1" s="1041"/>
      <c r="C1" s="1142"/>
      <c r="D1" s="1041"/>
      <c r="E1" s="1041"/>
      <c r="F1" s="1041"/>
      <c r="G1" s="1041"/>
      <c r="H1" s="1041"/>
    </row>
    <row r="2" spans="1:12" s="2" customFormat="1" ht="15.75">
      <c r="A2" s="1068" t="s">
        <v>158</v>
      </c>
      <c r="B2" s="1068"/>
      <c r="C2" s="1068"/>
      <c r="D2" s="1068"/>
      <c r="E2" s="1068"/>
      <c r="F2" s="1068"/>
      <c r="G2" s="1068"/>
      <c r="H2" s="1068"/>
    </row>
    <row r="3" spans="1:12" s="2" customFormat="1" ht="18" customHeight="1">
      <c r="A3" s="1069">
        <v>2021</v>
      </c>
      <c r="B3" s="1069"/>
      <c r="C3" s="1069"/>
      <c r="D3" s="1069"/>
      <c r="E3" s="1069"/>
      <c r="F3" s="1069"/>
      <c r="G3" s="1069"/>
      <c r="H3" s="1069"/>
      <c r="I3" s="54"/>
      <c r="J3" s="54"/>
      <c r="K3" s="54"/>
      <c r="L3" s="54"/>
    </row>
    <row r="4" spans="1:12" s="2" customFormat="1" ht="15.75">
      <c r="A4" s="1069" t="s">
        <v>51</v>
      </c>
      <c r="B4" s="1069"/>
      <c r="C4" s="1069"/>
      <c r="D4" s="1069"/>
      <c r="E4" s="1069"/>
      <c r="F4" s="1069"/>
      <c r="G4" s="1069"/>
      <c r="H4" s="1069"/>
    </row>
    <row r="5" spans="1:12" s="2" customFormat="1" ht="15.75">
      <c r="A5" s="362"/>
      <c r="B5" s="362"/>
      <c r="C5" s="362"/>
      <c r="D5" s="362"/>
      <c r="E5" s="362"/>
      <c r="F5" s="362"/>
      <c r="G5" s="362"/>
      <c r="H5" s="362"/>
    </row>
    <row r="6" spans="1:12" s="29" customFormat="1" ht="15.75">
      <c r="A6" s="374" t="s">
        <v>171</v>
      </c>
      <c r="B6" s="375"/>
      <c r="C6" s="375"/>
      <c r="D6" s="375"/>
      <c r="E6" s="375"/>
      <c r="F6" s="375"/>
      <c r="G6" s="375"/>
      <c r="H6" s="376" t="s">
        <v>170</v>
      </c>
    </row>
    <row r="7" spans="1:12" ht="26.25" customHeight="1" thickBot="1">
      <c r="A7" s="1131" t="s">
        <v>141</v>
      </c>
      <c r="B7" s="1119" t="s">
        <v>155</v>
      </c>
      <c r="C7" s="1119"/>
      <c r="D7" s="1119"/>
      <c r="E7" s="1119"/>
      <c r="F7" s="1119"/>
      <c r="G7" s="1119"/>
      <c r="H7" s="1138" t="s">
        <v>1077</v>
      </c>
    </row>
    <row r="8" spans="1:12" ht="44.25" customHeight="1">
      <c r="A8" s="1132"/>
      <c r="B8" s="328" t="s">
        <v>597</v>
      </c>
      <c r="C8" s="328" t="s">
        <v>598</v>
      </c>
      <c r="D8" s="328" t="s">
        <v>599</v>
      </c>
      <c r="E8" s="328" t="s">
        <v>600</v>
      </c>
      <c r="F8" s="328" t="s">
        <v>601</v>
      </c>
      <c r="G8" s="329" t="s">
        <v>595</v>
      </c>
      <c r="H8" s="1139"/>
    </row>
    <row r="9" spans="1:12" ht="16.5" thickBot="1">
      <c r="A9" s="150" t="s">
        <v>426</v>
      </c>
      <c r="B9" s="342">
        <v>10</v>
      </c>
      <c r="C9" s="342">
        <v>0</v>
      </c>
      <c r="D9" s="342">
        <v>2</v>
      </c>
      <c r="E9" s="342">
        <v>0</v>
      </c>
      <c r="F9" s="342">
        <v>0</v>
      </c>
      <c r="G9" s="343">
        <v>12</v>
      </c>
      <c r="H9" s="151" t="s">
        <v>426</v>
      </c>
    </row>
    <row r="10" spans="1:12" ht="16.5" thickBot="1">
      <c r="A10" s="152" t="s">
        <v>127</v>
      </c>
      <c r="B10" s="344">
        <v>209</v>
      </c>
      <c r="C10" s="344">
        <v>3</v>
      </c>
      <c r="D10" s="344">
        <v>2</v>
      </c>
      <c r="E10" s="344">
        <v>0</v>
      </c>
      <c r="F10" s="344">
        <v>0</v>
      </c>
      <c r="G10" s="343">
        <v>214</v>
      </c>
      <c r="H10" s="153" t="s">
        <v>127</v>
      </c>
    </row>
    <row r="11" spans="1:12" ht="16.5" thickBot="1">
      <c r="A11" s="152" t="s">
        <v>126</v>
      </c>
      <c r="B11" s="344">
        <v>599</v>
      </c>
      <c r="C11" s="344">
        <v>12</v>
      </c>
      <c r="D11" s="344">
        <v>24</v>
      </c>
      <c r="E11" s="344">
        <v>0</v>
      </c>
      <c r="F11" s="344">
        <v>0</v>
      </c>
      <c r="G11" s="343">
        <v>635</v>
      </c>
      <c r="H11" s="153" t="s">
        <v>126</v>
      </c>
    </row>
    <row r="12" spans="1:12" ht="16.5" thickBot="1">
      <c r="A12" s="152" t="s">
        <v>125</v>
      </c>
      <c r="B12" s="344">
        <v>477</v>
      </c>
      <c r="C12" s="344">
        <v>17</v>
      </c>
      <c r="D12" s="344">
        <v>54</v>
      </c>
      <c r="E12" s="344">
        <v>3</v>
      </c>
      <c r="F12" s="344">
        <v>0</v>
      </c>
      <c r="G12" s="343">
        <v>551</v>
      </c>
      <c r="H12" s="153" t="s">
        <v>125</v>
      </c>
    </row>
    <row r="13" spans="1:12" ht="16.5" thickBot="1">
      <c r="A13" s="152" t="s">
        <v>124</v>
      </c>
      <c r="B13" s="344">
        <v>152</v>
      </c>
      <c r="C13" s="344">
        <v>49</v>
      </c>
      <c r="D13" s="344">
        <v>55</v>
      </c>
      <c r="E13" s="344">
        <v>1</v>
      </c>
      <c r="F13" s="344">
        <v>0</v>
      </c>
      <c r="G13" s="343">
        <v>257</v>
      </c>
      <c r="H13" s="153" t="s">
        <v>124</v>
      </c>
    </row>
    <row r="14" spans="1:12" ht="16.5" thickBot="1">
      <c r="A14" s="152" t="s">
        <v>123</v>
      </c>
      <c r="B14" s="344">
        <v>54</v>
      </c>
      <c r="C14" s="344">
        <v>53</v>
      </c>
      <c r="D14" s="344">
        <v>42</v>
      </c>
      <c r="E14" s="344">
        <v>0</v>
      </c>
      <c r="F14" s="344">
        <v>0</v>
      </c>
      <c r="G14" s="343">
        <v>149</v>
      </c>
      <c r="H14" s="153" t="s">
        <v>123</v>
      </c>
    </row>
    <row r="15" spans="1:12" ht="16.5" thickBot="1">
      <c r="A15" s="152" t="s">
        <v>122</v>
      </c>
      <c r="B15" s="344">
        <v>17</v>
      </c>
      <c r="C15" s="344">
        <v>18</v>
      </c>
      <c r="D15" s="344">
        <v>29</v>
      </c>
      <c r="E15" s="344">
        <v>1</v>
      </c>
      <c r="F15" s="344">
        <v>0</v>
      </c>
      <c r="G15" s="343">
        <v>65</v>
      </c>
      <c r="H15" s="153" t="s">
        <v>122</v>
      </c>
    </row>
    <row r="16" spans="1:12" ht="16.5" thickBot="1">
      <c r="A16" s="152" t="s">
        <v>121</v>
      </c>
      <c r="B16" s="344">
        <v>10</v>
      </c>
      <c r="C16" s="344">
        <v>16</v>
      </c>
      <c r="D16" s="344">
        <v>19</v>
      </c>
      <c r="E16" s="344">
        <v>1</v>
      </c>
      <c r="F16" s="344">
        <v>0</v>
      </c>
      <c r="G16" s="343">
        <v>46</v>
      </c>
      <c r="H16" s="153" t="s">
        <v>121</v>
      </c>
    </row>
    <row r="17" spans="1:8" ht="16.5" thickBot="1">
      <c r="A17" s="152" t="s">
        <v>120</v>
      </c>
      <c r="B17" s="344">
        <v>1</v>
      </c>
      <c r="C17" s="344">
        <v>8</v>
      </c>
      <c r="D17" s="344">
        <v>5</v>
      </c>
      <c r="E17" s="344">
        <v>0</v>
      </c>
      <c r="F17" s="344">
        <v>0</v>
      </c>
      <c r="G17" s="343">
        <v>14</v>
      </c>
      <c r="H17" s="153" t="s">
        <v>120</v>
      </c>
    </row>
    <row r="18" spans="1:8" ht="16.5" thickBot="1">
      <c r="A18" s="152" t="s">
        <v>119</v>
      </c>
      <c r="B18" s="344">
        <v>1</v>
      </c>
      <c r="C18" s="344">
        <v>2</v>
      </c>
      <c r="D18" s="344">
        <v>4</v>
      </c>
      <c r="E18" s="344">
        <v>0</v>
      </c>
      <c r="F18" s="344">
        <v>0</v>
      </c>
      <c r="G18" s="343">
        <v>7</v>
      </c>
      <c r="H18" s="153" t="s">
        <v>119</v>
      </c>
    </row>
    <row r="19" spans="1:8" ht="16.5" thickBot="1">
      <c r="A19" s="152" t="s">
        <v>118</v>
      </c>
      <c r="B19" s="344">
        <v>1</v>
      </c>
      <c r="C19" s="344">
        <v>0</v>
      </c>
      <c r="D19" s="344">
        <v>2</v>
      </c>
      <c r="E19" s="344">
        <v>4</v>
      </c>
      <c r="F19" s="344">
        <v>0</v>
      </c>
      <c r="G19" s="343">
        <v>7</v>
      </c>
      <c r="H19" s="153" t="s">
        <v>118</v>
      </c>
    </row>
    <row r="20" spans="1:8" ht="16.5" thickBot="1">
      <c r="A20" s="152" t="s">
        <v>117</v>
      </c>
      <c r="B20" s="344">
        <v>0</v>
      </c>
      <c r="C20" s="344">
        <v>0</v>
      </c>
      <c r="D20" s="344">
        <v>1</v>
      </c>
      <c r="E20" s="344">
        <v>0</v>
      </c>
      <c r="F20" s="344">
        <v>0</v>
      </c>
      <c r="G20" s="343">
        <v>1</v>
      </c>
      <c r="H20" s="153" t="s">
        <v>117</v>
      </c>
    </row>
    <row r="21" spans="1:8" ht="16.5" thickBot="1">
      <c r="A21" s="152" t="s">
        <v>116</v>
      </c>
      <c r="B21" s="344">
        <v>0</v>
      </c>
      <c r="C21" s="344">
        <v>0</v>
      </c>
      <c r="D21" s="344">
        <v>1</v>
      </c>
      <c r="E21" s="344">
        <v>1</v>
      </c>
      <c r="F21" s="344">
        <v>0</v>
      </c>
      <c r="G21" s="343">
        <v>2</v>
      </c>
      <c r="H21" s="153" t="s">
        <v>116</v>
      </c>
    </row>
    <row r="22" spans="1:8" ht="15.75">
      <c r="A22" s="154" t="s">
        <v>14</v>
      </c>
      <c r="B22" s="345">
        <v>1</v>
      </c>
      <c r="C22" s="345">
        <v>0</v>
      </c>
      <c r="D22" s="345">
        <v>0</v>
      </c>
      <c r="E22" s="345">
        <v>0</v>
      </c>
      <c r="F22" s="345">
        <v>0</v>
      </c>
      <c r="G22" s="441">
        <v>1</v>
      </c>
      <c r="H22" s="155" t="s">
        <v>15</v>
      </c>
    </row>
    <row r="23" spans="1:8" ht="21.95" customHeight="1" thickBot="1">
      <c r="A23" s="977" t="s">
        <v>16</v>
      </c>
      <c r="B23" s="978">
        <f>SUBTOTAL(109,Table_Default__XLS_TAB_13_2[NEVER_MARR])</f>
        <v>1532</v>
      </c>
      <c r="C23" s="978">
        <f>SUBTOTAL(109,Table_Default__XLS_TAB_13_2[MARRIED])</f>
        <v>178</v>
      </c>
      <c r="D23" s="978">
        <f>SUBTOTAL(109,Table_Default__XLS_TAB_13_2[DIVORCES])</f>
        <v>240</v>
      </c>
      <c r="E23" s="978">
        <f>SUBTOTAL(109,Table_Default__XLS_TAB_13_2[WIDOWED])</f>
        <v>11</v>
      </c>
      <c r="F23" s="979">
        <f>SUBTOTAL(109,Table_Default__XLS_TAB_13_2[NOT_STATED])</f>
        <v>0</v>
      </c>
      <c r="G23" s="978">
        <f>SUBTOTAL(109,Table_Default__XLS_TAB_13_2[TOTAL])</f>
        <v>1961</v>
      </c>
      <c r="H23" s="980" t="s">
        <v>55</v>
      </c>
    </row>
    <row r="24" spans="1:8" ht="19.5" customHeight="1">
      <c r="A24" s="526" t="s">
        <v>144</v>
      </c>
      <c r="B24" s="527">
        <f>B23/$G$23%</f>
        <v>78.123406425293226</v>
      </c>
      <c r="C24" s="527">
        <f>C23/$G$23%</f>
        <v>9.077001529831719</v>
      </c>
      <c r="D24" s="527">
        <f>D23/$G$23%</f>
        <v>12.23865374808771</v>
      </c>
      <c r="E24" s="527">
        <f>E23/$G$23%</f>
        <v>0.56093829678735341</v>
      </c>
      <c r="F24" s="527">
        <f>F23/$G$23%</f>
        <v>0</v>
      </c>
      <c r="G24" s="527">
        <f>SUM(B24:F24)</f>
        <v>100.00000000000001</v>
      </c>
      <c r="H24" s="773"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L24"/>
  <sheetViews>
    <sheetView rightToLeft="1" view="pageBreakPreview" topLeftCell="A4" zoomScaleNormal="100" zoomScaleSheetLayoutView="100" workbookViewId="0">
      <selection activeCell="F26" sqref="F26"/>
    </sheetView>
  </sheetViews>
  <sheetFormatPr defaultColWidth="9.140625" defaultRowHeight="12.75"/>
  <cols>
    <col min="1" max="1" width="24.28515625" style="1" customWidth="1"/>
    <col min="2" max="2" width="16" style="1" customWidth="1"/>
    <col min="3" max="3" width="11.7109375" style="1" customWidth="1"/>
    <col min="4" max="4" width="12.85546875" style="1" customWidth="1"/>
    <col min="5" max="5" width="12.7109375" style="1" customWidth="1"/>
    <col min="6" max="7" width="13.5703125" style="1" customWidth="1"/>
    <col min="8" max="8" width="24.28515625" style="1" customWidth="1"/>
    <col min="9" max="16384" width="9.140625" style="1"/>
  </cols>
  <sheetData>
    <row r="1" spans="1:12" s="2" customFormat="1" ht="21.75" customHeight="1">
      <c r="A1" s="1041" t="s">
        <v>159</v>
      </c>
      <c r="B1" s="1041"/>
      <c r="C1" s="1142"/>
      <c r="D1" s="1041"/>
      <c r="E1" s="1041"/>
      <c r="F1" s="1041"/>
      <c r="G1" s="1041"/>
      <c r="H1" s="1041"/>
    </row>
    <row r="2" spans="1:12" s="2" customFormat="1" ht="15.75">
      <c r="A2" s="1068" t="s">
        <v>158</v>
      </c>
      <c r="B2" s="1068"/>
      <c r="C2" s="1068"/>
      <c r="D2" s="1068"/>
      <c r="E2" s="1068"/>
      <c r="F2" s="1068"/>
      <c r="G2" s="1068"/>
      <c r="H2" s="1068"/>
    </row>
    <row r="3" spans="1:12" s="2" customFormat="1" ht="18" customHeight="1">
      <c r="A3" s="1069">
        <v>2021</v>
      </c>
      <c r="B3" s="1069"/>
      <c r="C3" s="1069"/>
      <c r="D3" s="1069"/>
      <c r="E3" s="1069"/>
      <c r="F3" s="1069"/>
      <c r="G3" s="1069"/>
      <c r="H3" s="1069"/>
      <c r="I3" s="54"/>
      <c r="J3" s="54"/>
      <c r="K3" s="54"/>
      <c r="L3" s="54"/>
    </row>
    <row r="4" spans="1:12" s="2" customFormat="1" ht="15.75">
      <c r="A4" s="1069" t="s">
        <v>1</v>
      </c>
      <c r="B4" s="1069"/>
      <c r="C4" s="1069"/>
      <c r="D4" s="1069"/>
      <c r="E4" s="1069"/>
      <c r="F4" s="1069"/>
      <c r="G4" s="1069"/>
      <c r="H4" s="1069"/>
    </row>
    <row r="5" spans="1:12" s="2" customFormat="1" ht="15.75">
      <c r="A5" s="362"/>
      <c r="B5" s="362"/>
      <c r="C5" s="362"/>
      <c r="D5" s="362"/>
      <c r="E5" s="362"/>
      <c r="F5" s="362"/>
      <c r="G5" s="362"/>
      <c r="H5" s="362"/>
    </row>
    <row r="6" spans="1:12" s="29" customFormat="1" ht="15.75">
      <c r="A6" s="374" t="s">
        <v>174</v>
      </c>
      <c r="B6" s="375"/>
      <c r="C6" s="375"/>
      <c r="D6" s="375"/>
      <c r="E6" s="375"/>
      <c r="F6" s="375"/>
      <c r="G6" s="375"/>
      <c r="H6" s="376" t="s">
        <v>173</v>
      </c>
    </row>
    <row r="7" spans="1:12" ht="26.25" customHeight="1" thickBot="1">
      <c r="A7" s="1131" t="s">
        <v>141</v>
      </c>
      <c r="B7" s="1119" t="s">
        <v>155</v>
      </c>
      <c r="C7" s="1119"/>
      <c r="D7" s="1119"/>
      <c r="E7" s="1119"/>
      <c r="F7" s="1119"/>
      <c r="G7" s="1119"/>
      <c r="H7" s="1138" t="s">
        <v>1077</v>
      </c>
    </row>
    <row r="8" spans="1:12" ht="44.25" customHeight="1">
      <c r="A8" s="1140"/>
      <c r="B8" s="328" t="s">
        <v>597</v>
      </c>
      <c r="C8" s="328" t="s">
        <v>598</v>
      </c>
      <c r="D8" s="328" t="s">
        <v>599</v>
      </c>
      <c r="E8" s="328" t="s">
        <v>600</v>
      </c>
      <c r="F8" s="328" t="s">
        <v>601</v>
      </c>
      <c r="G8" s="329" t="s">
        <v>595</v>
      </c>
      <c r="H8" s="1141"/>
    </row>
    <row r="9" spans="1:12" ht="16.5" thickBot="1">
      <c r="A9" s="150" t="s">
        <v>426</v>
      </c>
      <c r="B9" s="342">
        <v>37</v>
      </c>
      <c r="C9" s="342">
        <v>0</v>
      </c>
      <c r="D9" s="342">
        <v>2</v>
      </c>
      <c r="E9" s="342">
        <v>0</v>
      </c>
      <c r="F9" s="342">
        <v>0</v>
      </c>
      <c r="G9" s="343">
        <v>39</v>
      </c>
      <c r="H9" s="151" t="s">
        <v>426</v>
      </c>
    </row>
    <row r="10" spans="1:12" ht="16.5" thickBot="1">
      <c r="A10" s="152" t="s">
        <v>127</v>
      </c>
      <c r="B10" s="344">
        <v>708</v>
      </c>
      <c r="C10" s="344">
        <v>6</v>
      </c>
      <c r="D10" s="344">
        <v>23</v>
      </c>
      <c r="E10" s="344">
        <v>0</v>
      </c>
      <c r="F10" s="344">
        <v>0</v>
      </c>
      <c r="G10" s="343">
        <v>737</v>
      </c>
      <c r="H10" s="153" t="s">
        <v>127</v>
      </c>
    </row>
    <row r="11" spans="1:12" ht="16.5" thickBot="1">
      <c r="A11" s="152" t="s">
        <v>126</v>
      </c>
      <c r="B11" s="344">
        <v>1467</v>
      </c>
      <c r="C11" s="344">
        <v>20</v>
      </c>
      <c r="D11" s="344">
        <v>169</v>
      </c>
      <c r="E11" s="344">
        <v>0</v>
      </c>
      <c r="F11" s="344">
        <v>0</v>
      </c>
      <c r="G11" s="343">
        <v>1656</v>
      </c>
      <c r="H11" s="153" t="s">
        <v>126</v>
      </c>
    </row>
    <row r="12" spans="1:12" ht="16.5" thickBot="1">
      <c r="A12" s="152" t="s">
        <v>125</v>
      </c>
      <c r="B12" s="344">
        <v>760</v>
      </c>
      <c r="C12" s="344">
        <v>31</v>
      </c>
      <c r="D12" s="344">
        <v>173</v>
      </c>
      <c r="E12" s="344">
        <v>3</v>
      </c>
      <c r="F12" s="344">
        <v>0</v>
      </c>
      <c r="G12" s="343">
        <v>967</v>
      </c>
      <c r="H12" s="153" t="s">
        <v>125</v>
      </c>
    </row>
    <row r="13" spans="1:12" ht="16.5" thickBot="1">
      <c r="A13" s="152" t="s">
        <v>124</v>
      </c>
      <c r="B13" s="344">
        <v>215</v>
      </c>
      <c r="C13" s="344">
        <v>72</v>
      </c>
      <c r="D13" s="344">
        <v>133</v>
      </c>
      <c r="E13" s="344">
        <v>2</v>
      </c>
      <c r="F13" s="344">
        <v>0</v>
      </c>
      <c r="G13" s="343">
        <v>422</v>
      </c>
      <c r="H13" s="153" t="s">
        <v>124</v>
      </c>
    </row>
    <row r="14" spans="1:12" ht="16.5" thickBot="1">
      <c r="A14" s="152" t="s">
        <v>123</v>
      </c>
      <c r="B14" s="344">
        <v>86</v>
      </c>
      <c r="C14" s="344">
        <v>82</v>
      </c>
      <c r="D14" s="344">
        <v>89</v>
      </c>
      <c r="E14" s="344">
        <v>1</v>
      </c>
      <c r="F14" s="344">
        <v>0</v>
      </c>
      <c r="G14" s="343">
        <v>258</v>
      </c>
      <c r="H14" s="153" t="s">
        <v>123</v>
      </c>
    </row>
    <row r="15" spans="1:12" ht="16.5" thickBot="1">
      <c r="A15" s="152" t="s">
        <v>122</v>
      </c>
      <c r="B15" s="344">
        <v>30</v>
      </c>
      <c r="C15" s="344">
        <v>43</v>
      </c>
      <c r="D15" s="344">
        <v>55</v>
      </c>
      <c r="E15" s="344">
        <v>4</v>
      </c>
      <c r="F15" s="344">
        <v>0</v>
      </c>
      <c r="G15" s="343">
        <v>132</v>
      </c>
      <c r="H15" s="153" t="s">
        <v>122</v>
      </c>
    </row>
    <row r="16" spans="1:12" ht="16.5" thickBot="1">
      <c r="A16" s="152" t="s">
        <v>121</v>
      </c>
      <c r="B16" s="344">
        <v>16</v>
      </c>
      <c r="C16" s="344">
        <v>40</v>
      </c>
      <c r="D16" s="344">
        <v>33</v>
      </c>
      <c r="E16" s="344">
        <v>5</v>
      </c>
      <c r="F16" s="344">
        <v>0</v>
      </c>
      <c r="G16" s="343">
        <v>94</v>
      </c>
      <c r="H16" s="153" t="s">
        <v>121</v>
      </c>
    </row>
    <row r="17" spans="1:8" ht="16.5" thickBot="1">
      <c r="A17" s="152" t="s">
        <v>120</v>
      </c>
      <c r="B17" s="344">
        <v>7</v>
      </c>
      <c r="C17" s="344">
        <v>20</v>
      </c>
      <c r="D17" s="344">
        <v>17</v>
      </c>
      <c r="E17" s="344">
        <v>2</v>
      </c>
      <c r="F17" s="344">
        <v>0</v>
      </c>
      <c r="G17" s="343">
        <v>46</v>
      </c>
      <c r="H17" s="153" t="s">
        <v>120</v>
      </c>
    </row>
    <row r="18" spans="1:8" ht="16.5" thickBot="1">
      <c r="A18" s="152" t="s">
        <v>119</v>
      </c>
      <c r="B18" s="344">
        <v>4</v>
      </c>
      <c r="C18" s="344">
        <v>7</v>
      </c>
      <c r="D18" s="344">
        <v>7</v>
      </c>
      <c r="E18" s="344">
        <v>1</v>
      </c>
      <c r="F18" s="344">
        <v>0</v>
      </c>
      <c r="G18" s="343">
        <v>19</v>
      </c>
      <c r="H18" s="153" t="s">
        <v>119</v>
      </c>
    </row>
    <row r="19" spans="1:8" ht="16.5" thickBot="1">
      <c r="A19" s="152" t="s">
        <v>118</v>
      </c>
      <c r="B19" s="344">
        <v>2</v>
      </c>
      <c r="C19" s="344">
        <v>3</v>
      </c>
      <c r="D19" s="344">
        <v>5</v>
      </c>
      <c r="E19" s="344">
        <v>4</v>
      </c>
      <c r="F19" s="344">
        <v>0</v>
      </c>
      <c r="G19" s="343">
        <v>14</v>
      </c>
      <c r="H19" s="153" t="s">
        <v>118</v>
      </c>
    </row>
    <row r="20" spans="1:8" ht="16.5" thickBot="1">
      <c r="A20" s="152" t="s">
        <v>117</v>
      </c>
      <c r="B20" s="344">
        <v>0</v>
      </c>
      <c r="C20" s="344">
        <v>0</v>
      </c>
      <c r="D20" s="344">
        <v>1</v>
      </c>
      <c r="E20" s="344">
        <v>0</v>
      </c>
      <c r="F20" s="344">
        <v>0</v>
      </c>
      <c r="G20" s="343">
        <v>1</v>
      </c>
      <c r="H20" s="153" t="s">
        <v>117</v>
      </c>
    </row>
    <row r="21" spans="1:8" ht="16.5" thickBot="1">
      <c r="A21" s="152" t="s">
        <v>116</v>
      </c>
      <c r="B21" s="344">
        <v>0</v>
      </c>
      <c r="C21" s="344">
        <v>1</v>
      </c>
      <c r="D21" s="344">
        <v>1</v>
      </c>
      <c r="E21" s="344">
        <v>1</v>
      </c>
      <c r="F21" s="344">
        <v>0</v>
      </c>
      <c r="G21" s="343">
        <v>3</v>
      </c>
      <c r="H21" s="153" t="s">
        <v>116</v>
      </c>
    </row>
    <row r="22" spans="1:8" ht="15.75">
      <c r="A22" s="154" t="s">
        <v>14</v>
      </c>
      <c r="B22" s="345">
        <v>2</v>
      </c>
      <c r="C22" s="345">
        <v>0</v>
      </c>
      <c r="D22" s="345">
        <v>0</v>
      </c>
      <c r="E22" s="345">
        <v>0</v>
      </c>
      <c r="F22" s="345">
        <v>0</v>
      </c>
      <c r="G22" s="441">
        <v>2</v>
      </c>
      <c r="H22" s="155" t="s">
        <v>15</v>
      </c>
    </row>
    <row r="23" spans="1:8" ht="21.95" customHeight="1" thickBot="1">
      <c r="A23" s="977" t="s">
        <v>16</v>
      </c>
      <c r="B23" s="978">
        <f>SUBTOTAL(109,Table_Default__XLS_TAB_13_3[NEVER_MARR])</f>
        <v>3334</v>
      </c>
      <c r="C23" s="978">
        <f>SUBTOTAL(109,Table_Default__XLS_TAB_13_3[MARRIED])</f>
        <v>325</v>
      </c>
      <c r="D23" s="978">
        <f>SUBTOTAL(109,Table_Default__XLS_TAB_13_3[DIVORCES])</f>
        <v>708</v>
      </c>
      <c r="E23" s="978">
        <f>SUBTOTAL(109,Table_Default__XLS_TAB_13_3[WIDOWED])</f>
        <v>23</v>
      </c>
      <c r="F23" s="979">
        <f>SUBTOTAL(109,Table_Default__XLS_TAB_13_3[NOT_STATED])</f>
        <v>0</v>
      </c>
      <c r="G23" s="978">
        <f>SUBTOTAL(109,Table_Default__XLS_TAB_13_3[TOTAL])</f>
        <v>4390</v>
      </c>
      <c r="H23" s="980" t="s">
        <v>55</v>
      </c>
    </row>
    <row r="24" spans="1:8" ht="19.5" customHeight="1">
      <c r="A24" s="528" t="s">
        <v>144</v>
      </c>
      <c r="B24" s="529">
        <f>B23/$G$23%</f>
        <v>75.945330296127565</v>
      </c>
      <c r="C24" s="529">
        <f>C23/$G$23%</f>
        <v>7.4031890660592259</v>
      </c>
      <c r="D24" s="529">
        <f>D23/$G$23%</f>
        <v>16.127562642369021</v>
      </c>
      <c r="E24" s="529">
        <f>E23/$G$23%</f>
        <v>0.52391799544419138</v>
      </c>
      <c r="F24" s="529">
        <f>F23/$G$23%</f>
        <v>0</v>
      </c>
      <c r="G24" s="529">
        <f>SUM(B24:F24)</f>
        <v>100.00000000000001</v>
      </c>
      <c r="H24" s="779" t="s">
        <v>19</v>
      </c>
    </row>
  </sheetData>
  <mergeCells count="7">
    <mergeCell ref="A7:A8"/>
    <mergeCell ref="B7:G7"/>
    <mergeCell ref="H7:H8"/>
    <mergeCell ref="A1:H1"/>
    <mergeCell ref="A2:H2"/>
    <mergeCell ref="A3:H3"/>
    <mergeCell ref="A4:H4"/>
  </mergeCells>
  <printOptions horizontalCentered="1" verticalCentered="1"/>
  <pageMargins left="0" right="0" top="0" bottom="0" header="0" footer="0"/>
  <pageSetup paperSize="9" scale="98" orientation="landscape" r:id="rId1"/>
  <headerFooter alignWithMargins="0"/>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21"/>
  <sheetViews>
    <sheetView rightToLeft="1" view="pageBreakPreview" topLeftCell="A4" zoomScaleNormal="100" zoomScaleSheetLayoutView="100" workbookViewId="0">
      <selection activeCell="F21" sqref="F21"/>
    </sheetView>
  </sheetViews>
  <sheetFormatPr defaultColWidth="9.140625" defaultRowHeight="12.75"/>
  <cols>
    <col min="1" max="1" width="24.28515625" style="2" customWidth="1"/>
    <col min="2" max="2" width="16.7109375" style="2" customWidth="1"/>
    <col min="3" max="3" width="12.85546875" style="2" customWidth="1"/>
    <col min="4" max="4" width="12.7109375" style="2" customWidth="1"/>
    <col min="5" max="6" width="13.5703125" style="2" customWidth="1"/>
    <col min="7" max="7" width="24.28515625" style="2" customWidth="1"/>
    <col min="8" max="16384" width="9.140625" style="2"/>
  </cols>
  <sheetData>
    <row r="1" spans="1:11" ht="21.75" customHeight="1">
      <c r="A1" s="1041" t="s">
        <v>169</v>
      </c>
      <c r="B1" s="1041"/>
      <c r="C1" s="1142"/>
      <c r="D1" s="1041"/>
      <c r="E1" s="1041"/>
      <c r="F1" s="1041"/>
      <c r="G1" s="1041"/>
    </row>
    <row r="2" spans="1:11" ht="15.75">
      <c r="A2" s="1068" t="s">
        <v>168</v>
      </c>
      <c r="B2" s="1068"/>
      <c r="C2" s="1068"/>
      <c r="D2" s="1068"/>
      <c r="E2" s="1068"/>
      <c r="F2" s="1068"/>
      <c r="G2" s="1068"/>
    </row>
    <row r="3" spans="1:11" ht="18" customHeight="1">
      <c r="A3" s="1069">
        <v>2021</v>
      </c>
      <c r="B3" s="1069"/>
      <c r="C3" s="1069"/>
      <c r="D3" s="1069"/>
      <c r="E3" s="1069"/>
      <c r="F3" s="1069"/>
      <c r="G3" s="1069"/>
      <c r="H3" s="54"/>
      <c r="I3" s="54"/>
      <c r="J3" s="54"/>
      <c r="K3" s="54"/>
    </row>
    <row r="4" spans="1:11" ht="15.75">
      <c r="A4" s="1069" t="s">
        <v>167</v>
      </c>
      <c r="B4" s="1069"/>
      <c r="C4" s="1069"/>
      <c r="D4" s="1069"/>
      <c r="E4" s="1069"/>
      <c r="F4" s="1069"/>
      <c r="G4" s="1069"/>
    </row>
    <row r="5" spans="1:11" ht="15.75">
      <c r="A5" s="362"/>
      <c r="B5" s="362"/>
      <c r="C5" s="362"/>
      <c r="D5" s="362"/>
      <c r="E5" s="362"/>
      <c r="F5" s="362"/>
      <c r="G5" s="362"/>
    </row>
    <row r="6" spans="1:11" s="29" customFormat="1" ht="15.75">
      <c r="A6" s="374" t="s">
        <v>180</v>
      </c>
      <c r="B6" s="375"/>
      <c r="C6" s="375"/>
      <c r="D6" s="375"/>
      <c r="E6" s="375"/>
      <c r="F6" s="375"/>
      <c r="G6" s="376" t="s">
        <v>179</v>
      </c>
    </row>
    <row r="7" spans="1:11" ht="26.25" customHeight="1" thickBot="1">
      <c r="A7" s="1131" t="s">
        <v>164</v>
      </c>
      <c r="B7" s="1119" t="s">
        <v>155</v>
      </c>
      <c r="C7" s="1119"/>
      <c r="D7" s="1119"/>
      <c r="E7" s="1119"/>
      <c r="F7" s="1119"/>
      <c r="G7" s="1138" t="s">
        <v>1077</v>
      </c>
    </row>
    <row r="8" spans="1:11" ht="40.5" customHeight="1">
      <c r="A8" s="1140"/>
      <c r="B8" s="328" t="s">
        <v>602</v>
      </c>
      <c r="C8" s="328" t="s">
        <v>603</v>
      </c>
      <c r="D8" s="328" t="s">
        <v>604</v>
      </c>
      <c r="E8" s="328" t="s">
        <v>601</v>
      </c>
      <c r="F8" s="329" t="s">
        <v>595</v>
      </c>
      <c r="G8" s="1141"/>
    </row>
    <row r="9" spans="1:11" ht="18.75" customHeight="1" thickBot="1">
      <c r="A9" s="146" t="s">
        <v>426</v>
      </c>
      <c r="B9" s="342">
        <v>198</v>
      </c>
      <c r="C9" s="342">
        <v>4</v>
      </c>
      <c r="D9" s="342">
        <v>0</v>
      </c>
      <c r="E9" s="342">
        <v>0</v>
      </c>
      <c r="F9" s="343">
        <v>202</v>
      </c>
      <c r="G9" s="144" t="s">
        <v>426</v>
      </c>
    </row>
    <row r="10" spans="1:11" ht="18.75" customHeight="1" thickBot="1">
      <c r="A10" s="147" t="s">
        <v>127</v>
      </c>
      <c r="B10" s="344">
        <v>899</v>
      </c>
      <c r="C10" s="344">
        <v>51</v>
      </c>
      <c r="D10" s="344">
        <v>1</v>
      </c>
      <c r="E10" s="344">
        <v>0</v>
      </c>
      <c r="F10" s="343">
        <v>951</v>
      </c>
      <c r="G10" s="145" t="s">
        <v>127</v>
      </c>
    </row>
    <row r="11" spans="1:11" ht="18.75" customHeight="1" thickBot="1">
      <c r="A11" s="147" t="s">
        <v>126</v>
      </c>
      <c r="B11" s="344">
        <v>537</v>
      </c>
      <c r="C11" s="344">
        <v>100</v>
      </c>
      <c r="D11" s="344">
        <v>1</v>
      </c>
      <c r="E11" s="344">
        <v>0</v>
      </c>
      <c r="F11" s="343">
        <v>638</v>
      </c>
      <c r="G11" s="145" t="s">
        <v>126</v>
      </c>
    </row>
    <row r="12" spans="1:11" ht="18.75" customHeight="1" thickBot="1">
      <c r="A12" s="147" t="s">
        <v>125</v>
      </c>
      <c r="B12" s="344">
        <v>146</v>
      </c>
      <c r="C12" s="344">
        <v>89</v>
      </c>
      <c r="D12" s="344">
        <v>1</v>
      </c>
      <c r="E12" s="344">
        <v>0</v>
      </c>
      <c r="F12" s="343">
        <v>236</v>
      </c>
      <c r="G12" s="145" t="s">
        <v>125</v>
      </c>
    </row>
    <row r="13" spans="1:11" ht="18.75" customHeight="1" thickBot="1">
      <c r="A13" s="147" t="s">
        <v>124</v>
      </c>
      <c r="B13" s="344">
        <v>63</v>
      </c>
      <c r="C13" s="344">
        <v>66</v>
      </c>
      <c r="D13" s="344">
        <v>2</v>
      </c>
      <c r="E13" s="344">
        <v>0</v>
      </c>
      <c r="F13" s="343">
        <v>131</v>
      </c>
      <c r="G13" s="145" t="s">
        <v>124</v>
      </c>
    </row>
    <row r="14" spans="1:11" ht="18.75" customHeight="1" thickBot="1">
      <c r="A14" s="147" t="s">
        <v>123</v>
      </c>
      <c r="B14" s="344">
        <v>22</v>
      </c>
      <c r="C14" s="344">
        <v>43</v>
      </c>
      <c r="D14" s="344">
        <v>1</v>
      </c>
      <c r="E14" s="344">
        <v>0</v>
      </c>
      <c r="F14" s="343">
        <v>66</v>
      </c>
      <c r="G14" s="145" t="s">
        <v>123</v>
      </c>
    </row>
    <row r="15" spans="1:11" ht="18.75" customHeight="1" thickBot="1">
      <c r="A15" s="147" t="s">
        <v>122</v>
      </c>
      <c r="B15" s="344">
        <v>6</v>
      </c>
      <c r="C15" s="344">
        <v>28</v>
      </c>
      <c r="D15" s="344">
        <v>2</v>
      </c>
      <c r="E15" s="344">
        <v>0</v>
      </c>
      <c r="F15" s="343">
        <v>36</v>
      </c>
      <c r="G15" s="145" t="s">
        <v>122</v>
      </c>
    </row>
    <row r="16" spans="1:11" ht="18.75" customHeight="1" thickBot="1">
      <c r="A16" s="147" t="s">
        <v>121</v>
      </c>
      <c r="B16" s="344">
        <v>4</v>
      </c>
      <c r="C16" s="344">
        <v>7</v>
      </c>
      <c r="D16" s="344">
        <v>0</v>
      </c>
      <c r="E16" s="344">
        <v>0</v>
      </c>
      <c r="F16" s="343">
        <v>11</v>
      </c>
      <c r="G16" s="145" t="s">
        <v>121</v>
      </c>
    </row>
    <row r="17" spans="1:7" ht="18.75" customHeight="1" thickBot="1">
      <c r="A17" s="147" t="s">
        <v>120</v>
      </c>
      <c r="B17" s="344">
        <v>0</v>
      </c>
      <c r="C17" s="344">
        <v>3</v>
      </c>
      <c r="D17" s="344">
        <v>1</v>
      </c>
      <c r="E17" s="344">
        <v>0</v>
      </c>
      <c r="F17" s="343">
        <v>4</v>
      </c>
      <c r="G17" s="145" t="s">
        <v>120</v>
      </c>
    </row>
    <row r="18" spans="1:7" ht="18.75" customHeight="1" thickBot="1">
      <c r="A18" s="147" t="s">
        <v>132</v>
      </c>
      <c r="B18" s="344">
        <v>0</v>
      </c>
      <c r="C18" s="344">
        <v>1</v>
      </c>
      <c r="D18" s="344">
        <v>0</v>
      </c>
      <c r="E18" s="344">
        <v>0</v>
      </c>
      <c r="F18" s="343">
        <v>1</v>
      </c>
      <c r="G18" s="145" t="s">
        <v>132</v>
      </c>
    </row>
    <row r="19" spans="1:7" ht="18.75" customHeight="1">
      <c r="A19" s="148" t="s">
        <v>14</v>
      </c>
      <c r="B19" s="345">
        <v>0</v>
      </c>
      <c r="C19" s="345">
        <v>0</v>
      </c>
      <c r="D19" s="345">
        <v>0</v>
      </c>
      <c r="E19" s="345">
        <v>0</v>
      </c>
      <c r="F19" s="441">
        <v>0</v>
      </c>
      <c r="G19" s="149" t="s">
        <v>15</v>
      </c>
    </row>
    <row r="20" spans="1:7" ht="18.75" customHeight="1">
      <c r="A20" s="981" t="s">
        <v>16</v>
      </c>
      <c r="B20" s="982">
        <f>SUBTOTAL(109,Table_Default__XLS_TAB_14_1[NOT_MARRIED])</f>
        <v>1875</v>
      </c>
      <c r="C20" s="982">
        <f>SUBTOTAL(109,Table_Default__XLS_TAB_14_1[DIVORCES])</f>
        <v>392</v>
      </c>
      <c r="D20" s="982">
        <f>SUBTOTAL(109,Table_Default__XLS_TAB_14_1[WIDOWED])</f>
        <v>9</v>
      </c>
      <c r="E20" s="982">
        <f>SUBTOTAL(109,Table_Default__XLS_TAB_14_1[NOT_STATED])</f>
        <v>0</v>
      </c>
      <c r="F20" s="982">
        <f>SUBTOTAL(109,Table_Default__XLS_TAB_14_1[TOTAL])</f>
        <v>2276</v>
      </c>
      <c r="G20" s="983" t="s">
        <v>55</v>
      </c>
    </row>
    <row r="21" spans="1:7" ht="18.75" customHeight="1">
      <c r="A21" s="788" t="s">
        <v>144</v>
      </c>
      <c r="B21" s="530">
        <f>B20/$F$20%</f>
        <v>82.381370826010539</v>
      </c>
      <c r="C21" s="530">
        <f>C20/$F$20%</f>
        <v>17.223198594024602</v>
      </c>
      <c r="D21" s="530">
        <f>D20/$F$20%</f>
        <v>0.39543057996485059</v>
      </c>
      <c r="E21" s="530">
        <f>E20/$F$20%</f>
        <v>0</v>
      </c>
      <c r="F21" s="530">
        <f>F20/$F$20%</f>
        <v>100</v>
      </c>
      <c r="G21" s="789" t="s">
        <v>19</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K21"/>
  <sheetViews>
    <sheetView rightToLeft="1" view="pageBreakPreview" zoomScaleNormal="100" zoomScaleSheetLayoutView="100" workbookViewId="0">
      <selection activeCell="F21" sqref="F21"/>
    </sheetView>
  </sheetViews>
  <sheetFormatPr defaultColWidth="9.140625" defaultRowHeight="12.75"/>
  <cols>
    <col min="1" max="1" width="24.28515625" style="2" customWidth="1"/>
    <col min="2" max="2" width="16.7109375" style="2" customWidth="1"/>
    <col min="3" max="3" width="12.85546875" style="2" customWidth="1"/>
    <col min="4" max="4" width="12.7109375" style="2" customWidth="1"/>
    <col min="5" max="6" width="13.5703125" style="2" customWidth="1"/>
    <col min="7" max="7" width="24.28515625" style="2" customWidth="1"/>
    <col min="8" max="16384" width="9.140625" style="2"/>
  </cols>
  <sheetData>
    <row r="1" spans="1:11" ht="21.75" customHeight="1">
      <c r="A1" s="1041" t="s">
        <v>169</v>
      </c>
      <c r="B1" s="1041"/>
      <c r="C1" s="1142"/>
      <c r="D1" s="1041"/>
      <c r="E1" s="1041"/>
      <c r="F1" s="1041"/>
      <c r="G1" s="1041"/>
    </row>
    <row r="2" spans="1:11" ht="15.75">
      <c r="A2" s="1068" t="s">
        <v>168</v>
      </c>
      <c r="B2" s="1068"/>
      <c r="C2" s="1068"/>
      <c r="D2" s="1068"/>
      <c r="E2" s="1068"/>
      <c r="F2" s="1068"/>
      <c r="G2" s="1068"/>
    </row>
    <row r="3" spans="1:11" ht="18" customHeight="1">
      <c r="A3" s="1069">
        <v>2021</v>
      </c>
      <c r="B3" s="1069"/>
      <c r="C3" s="1069"/>
      <c r="D3" s="1069"/>
      <c r="E3" s="1069"/>
      <c r="F3" s="1069"/>
      <c r="G3" s="1069"/>
      <c r="H3" s="54"/>
      <c r="I3" s="54"/>
      <c r="J3" s="54"/>
      <c r="K3" s="54"/>
    </row>
    <row r="4" spans="1:11" ht="15.75">
      <c r="A4" s="1069" t="s">
        <v>172</v>
      </c>
      <c r="B4" s="1069"/>
      <c r="C4" s="1069"/>
      <c r="D4" s="1069"/>
      <c r="E4" s="1069"/>
      <c r="F4" s="1069"/>
      <c r="G4" s="1069"/>
    </row>
    <row r="5" spans="1:11" ht="15.75">
      <c r="A5" s="362"/>
      <c r="B5" s="362"/>
      <c r="C5" s="362"/>
      <c r="D5" s="362"/>
      <c r="E5" s="362"/>
      <c r="F5" s="362"/>
      <c r="G5" s="362"/>
    </row>
    <row r="6" spans="1:11" s="29" customFormat="1" ht="15.75">
      <c r="A6" s="374" t="s">
        <v>182</v>
      </c>
      <c r="B6" s="375"/>
      <c r="C6" s="375"/>
      <c r="D6" s="375"/>
      <c r="E6" s="375"/>
      <c r="F6" s="375"/>
      <c r="G6" s="376" t="s">
        <v>181</v>
      </c>
    </row>
    <row r="7" spans="1:11" ht="26.25" customHeight="1" thickBot="1">
      <c r="A7" s="1131" t="s">
        <v>164</v>
      </c>
      <c r="B7" s="1119" t="s">
        <v>155</v>
      </c>
      <c r="C7" s="1119"/>
      <c r="D7" s="1119"/>
      <c r="E7" s="1119"/>
      <c r="F7" s="1119"/>
      <c r="G7" s="1138" t="s">
        <v>1077</v>
      </c>
    </row>
    <row r="8" spans="1:11" ht="40.5" customHeight="1">
      <c r="A8" s="1140"/>
      <c r="B8" s="328" t="s">
        <v>602</v>
      </c>
      <c r="C8" s="328" t="s">
        <v>603</v>
      </c>
      <c r="D8" s="328" t="s">
        <v>604</v>
      </c>
      <c r="E8" s="328" t="s">
        <v>601</v>
      </c>
      <c r="F8" s="329" t="s">
        <v>595</v>
      </c>
      <c r="G8" s="1141"/>
    </row>
    <row r="9" spans="1:11" ht="18.75" customHeight="1" thickBot="1">
      <c r="A9" s="146" t="s">
        <v>426</v>
      </c>
      <c r="B9" s="342">
        <v>134</v>
      </c>
      <c r="C9" s="342">
        <v>2</v>
      </c>
      <c r="D9" s="342">
        <v>0</v>
      </c>
      <c r="E9" s="342">
        <v>0</v>
      </c>
      <c r="F9" s="343">
        <v>136</v>
      </c>
      <c r="G9" s="144" t="s">
        <v>426</v>
      </c>
    </row>
    <row r="10" spans="1:11" ht="18.75" customHeight="1" thickBot="1">
      <c r="A10" s="147" t="s">
        <v>127</v>
      </c>
      <c r="B10" s="344">
        <v>541</v>
      </c>
      <c r="C10" s="344">
        <v>18</v>
      </c>
      <c r="D10" s="344">
        <v>1</v>
      </c>
      <c r="E10" s="344">
        <v>0</v>
      </c>
      <c r="F10" s="343">
        <v>560</v>
      </c>
      <c r="G10" s="145" t="s">
        <v>127</v>
      </c>
    </row>
    <row r="11" spans="1:11" ht="18.75" customHeight="1" thickBot="1">
      <c r="A11" s="147" t="s">
        <v>126</v>
      </c>
      <c r="B11" s="344">
        <v>610</v>
      </c>
      <c r="C11" s="344">
        <v>42</v>
      </c>
      <c r="D11" s="344">
        <v>1</v>
      </c>
      <c r="E11" s="344">
        <v>0</v>
      </c>
      <c r="F11" s="343">
        <v>653</v>
      </c>
      <c r="G11" s="145" t="s">
        <v>126</v>
      </c>
    </row>
    <row r="12" spans="1:11" ht="18.75" customHeight="1" thickBot="1">
      <c r="A12" s="147" t="s">
        <v>125</v>
      </c>
      <c r="B12" s="344">
        <v>330</v>
      </c>
      <c r="C12" s="344">
        <v>69</v>
      </c>
      <c r="D12" s="344">
        <v>1</v>
      </c>
      <c r="E12" s="344">
        <v>0</v>
      </c>
      <c r="F12" s="343">
        <v>400</v>
      </c>
      <c r="G12" s="145" t="s">
        <v>125</v>
      </c>
    </row>
    <row r="13" spans="1:11" ht="18.75" customHeight="1" thickBot="1">
      <c r="A13" s="147" t="s">
        <v>124</v>
      </c>
      <c r="B13" s="344">
        <v>166</v>
      </c>
      <c r="C13" s="344">
        <v>58</v>
      </c>
      <c r="D13" s="344">
        <v>4</v>
      </c>
      <c r="E13" s="344">
        <v>0</v>
      </c>
      <c r="F13" s="343">
        <v>228</v>
      </c>
      <c r="G13" s="145" t="s">
        <v>124</v>
      </c>
    </row>
    <row r="14" spans="1:11" ht="18.75" customHeight="1" thickBot="1">
      <c r="A14" s="147" t="s">
        <v>123</v>
      </c>
      <c r="B14" s="344">
        <v>48</v>
      </c>
      <c r="C14" s="344">
        <v>37</v>
      </c>
      <c r="D14" s="344">
        <v>1</v>
      </c>
      <c r="E14" s="344">
        <v>0</v>
      </c>
      <c r="F14" s="343">
        <v>86</v>
      </c>
      <c r="G14" s="145" t="s">
        <v>123</v>
      </c>
    </row>
    <row r="15" spans="1:11" ht="18.75" customHeight="1" thickBot="1">
      <c r="A15" s="147" t="s">
        <v>122</v>
      </c>
      <c r="B15" s="344">
        <v>16</v>
      </c>
      <c r="C15" s="344">
        <v>16</v>
      </c>
      <c r="D15" s="344">
        <v>2</v>
      </c>
      <c r="E15" s="344">
        <v>0</v>
      </c>
      <c r="F15" s="343">
        <v>34</v>
      </c>
      <c r="G15" s="145" t="s">
        <v>122</v>
      </c>
    </row>
    <row r="16" spans="1:11" ht="18.75" customHeight="1" thickBot="1">
      <c r="A16" s="147" t="s">
        <v>121</v>
      </c>
      <c r="B16" s="344">
        <v>5</v>
      </c>
      <c r="C16" s="344">
        <v>6</v>
      </c>
      <c r="D16" s="344">
        <v>1</v>
      </c>
      <c r="E16" s="344">
        <v>0</v>
      </c>
      <c r="F16" s="343">
        <v>12</v>
      </c>
      <c r="G16" s="145" t="s">
        <v>121</v>
      </c>
    </row>
    <row r="17" spans="1:7" ht="18.75" customHeight="1" thickBot="1">
      <c r="A17" s="147" t="s">
        <v>120</v>
      </c>
      <c r="B17" s="344">
        <v>1</v>
      </c>
      <c r="C17" s="344">
        <v>2</v>
      </c>
      <c r="D17" s="344">
        <v>0</v>
      </c>
      <c r="E17" s="344">
        <v>0</v>
      </c>
      <c r="F17" s="343">
        <v>3</v>
      </c>
      <c r="G17" s="145" t="s">
        <v>120</v>
      </c>
    </row>
    <row r="18" spans="1:7" ht="18.75" customHeight="1" thickBot="1">
      <c r="A18" s="147" t="s">
        <v>132</v>
      </c>
      <c r="B18" s="344">
        <v>0</v>
      </c>
      <c r="C18" s="344">
        <v>0</v>
      </c>
      <c r="D18" s="344">
        <v>2</v>
      </c>
      <c r="E18" s="344">
        <v>0</v>
      </c>
      <c r="F18" s="343">
        <v>2</v>
      </c>
      <c r="G18" s="145" t="s">
        <v>132</v>
      </c>
    </row>
    <row r="19" spans="1:7" ht="18.75" customHeight="1">
      <c r="A19" s="148" t="s">
        <v>14</v>
      </c>
      <c r="B19" s="345">
        <v>0</v>
      </c>
      <c r="C19" s="345">
        <v>0</v>
      </c>
      <c r="D19" s="345">
        <v>0</v>
      </c>
      <c r="E19" s="345">
        <v>0</v>
      </c>
      <c r="F19" s="441">
        <v>0</v>
      </c>
      <c r="G19" s="149" t="s">
        <v>15</v>
      </c>
    </row>
    <row r="20" spans="1:7" ht="18.75" customHeight="1" thickBot="1">
      <c r="A20" s="981" t="s">
        <v>16</v>
      </c>
      <c r="B20" s="982">
        <f>SUBTOTAL(109,Table_Default__XLS_TAB_14_2[NOT_MARRIED])</f>
        <v>1851</v>
      </c>
      <c r="C20" s="982">
        <f>SUBTOTAL(109,Table_Default__XLS_TAB_14_2[DIVORCES])</f>
        <v>250</v>
      </c>
      <c r="D20" s="982">
        <f>SUBTOTAL(109,Table_Default__XLS_TAB_14_2[WIDOWED])</f>
        <v>13</v>
      </c>
      <c r="E20" s="982">
        <f>SUBTOTAL(109,Table_Default__XLS_TAB_14_2[NOT_STATED])</f>
        <v>0</v>
      </c>
      <c r="F20" s="984">
        <f>SUBTOTAL(109,Table_Default__XLS_TAB_14_2[TOTAL])</f>
        <v>2114</v>
      </c>
      <c r="G20" s="983" t="s">
        <v>55</v>
      </c>
    </row>
    <row r="21" spans="1:7" ht="18.75" customHeight="1">
      <c r="A21" s="790" t="s">
        <v>144</v>
      </c>
      <c r="B21" s="531">
        <f>B20/$F$20%</f>
        <v>87.559129612109743</v>
      </c>
      <c r="C21" s="531">
        <f>C20/$F$20%</f>
        <v>11.825922421948912</v>
      </c>
      <c r="D21" s="531">
        <f>D20/$F$20%</f>
        <v>0.61494796594134338</v>
      </c>
      <c r="E21" s="531">
        <f>E20/$F$20%</f>
        <v>0</v>
      </c>
      <c r="F21" s="531">
        <f>SUM(B21:E21)</f>
        <v>100</v>
      </c>
      <c r="G21" s="791" t="s">
        <v>19</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21"/>
  <sheetViews>
    <sheetView rightToLeft="1" view="pageBreakPreview" zoomScaleNormal="100" zoomScaleSheetLayoutView="100" workbookViewId="0">
      <selection activeCell="I20" sqref="I20"/>
    </sheetView>
  </sheetViews>
  <sheetFormatPr defaultColWidth="9.140625" defaultRowHeight="12.75"/>
  <cols>
    <col min="1" max="1" width="24" style="2" customWidth="1"/>
    <col min="2" max="2" width="16.7109375" style="2" customWidth="1"/>
    <col min="3" max="3" width="12.85546875" style="2" customWidth="1"/>
    <col min="4" max="4" width="12.7109375" style="2" customWidth="1"/>
    <col min="5" max="6" width="13.5703125" style="2" customWidth="1"/>
    <col min="7" max="7" width="24.28515625" style="2" customWidth="1"/>
    <col min="8" max="16384" width="9.140625" style="2"/>
  </cols>
  <sheetData>
    <row r="1" spans="1:11" ht="21.75" customHeight="1">
      <c r="A1" s="1041" t="s">
        <v>169</v>
      </c>
      <c r="B1" s="1041"/>
      <c r="C1" s="1142"/>
      <c r="D1" s="1041"/>
      <c r="E1" s="1041"/>
      <c r="F1" s="1041"/>
      <c r="G1" s="1041"/>
    </row>
    <row r="2" spans="1:11" ht="15.75">
      <c r="A2" s="1068" t="s">
        <v>168</v>
      </c>
      <c r="B2" s="1068"/>
      <c r="C2" s="1068"/>
      <c r="D2" s="1068"/>
      <c r="E2" s="1068"/>
      <c r="F2" s="1068"/>
      <c r="G2" s="1068"/>
    </row>
    <row r="3" spans="1:11" ht="18" customHeight="1">
      <c r="A3" s="1069">
        <v>2021</v>
      </c>
      <c r="B3" s="1069"/>
      <c r="C3" s="1069"/>
      <c r="D3" s="1069"/>
      <c r="E3" s="1069"/>
      <c r="F3" s="1069"/>
      <c r="G3" s="1069"/>
      <c r="H3" s="54"/>
      <c r="I3" s="54"/>
      <c r="J3" s="54"/>
      <c r="K3" s="54"/>
    </row>
    <row r="4" spans="1:11" ht="15.75">
      <c r="A4" s="1069" t="s">
        <v>1</v>
      </c>
      <c r="B4" s="1069"/>
      <c r="C4" s="1069"/>
      <c r="D4" s="1069"/>
      <c r="E4" s="1069"/>
      <c r="F4" s="1069"/>
      <c r="G4" s="1069"/>
    </row>
    <row r="5" spans="1:11" ht="15.75">
      <c r="A5" s="362"/>
      <c r="B5" s="362"/>
      <c r="C5" s="362"/>
      <c r="D5" s="362"/>
      <c r="E5" s="362"/>
      <c r="F5" s="362"/>
      <c r="G5" s="362"/>
    </row>
    <row r="6" spans="1:11" s="29" customFormat="1" ht="15.75">
      <c r="A6" s="374" t="s">
        <v>184</v>
      </c>
      <c r="B6" s="375"/>
      <c r="C6" s="375"/>
      <c r="D6" s="375"/>
      <c r="E6" s="375"/>
      <c r="F6" s="375"/>
      <c r="G6" s="376" t="s">
        <v>183</v>
      </c>
    </row>
    <row r="7" spans="1:11" ht="26.25" customHeight="1" thickBot="1">
      <c r="A7" s="1131" t="s">
        <v>164</v>
      </c>
      <c r="B7" s="1119" t="s">
        <v>155</v>
      </c>
      <c r="C7" s="1119"/>
      <c r="D7" s="1119"/>
      <c r="E7" s="1119"/>
      <c r="F7" s="1119"/>
      <c r="G7" s="1138" t="s">
        <v>1077</v>
      </c>
    </row>
    <row r="8" spans="1:11" ht="40.5" customHeight="1">
      <c r="A8" s="1140"/>
      <c r="B8" s="328" t="s">
        <v>602</v>
      </c>
      <c r="C8" s="328" t="s">
        <v>603</v>
      </c>
      <c r="D8" s="328" t="s">
        <v>604</v>
      </c>
      <c r="E8" s="328" t="s">
        <v>601</v>
      </c>
      <c r="F8" s="329" t="s">
        <v>595</v>
      </c>
      <c r="G8" s="1141"/>
    </row>
    <row r="9" spans="1:11" ht="18.75" customHeight="1" thickBot="1">
      <c r="A9" s="146" t="s">
        <v>426</v>
      </c>
      <c r="B9" s="342">
        <v>332</v>
      </c>
      <c r="C9" s="342">
        <v>6</v>
      </c>
      <c r="D9" s="342">
        <v>0</v>
      </c>
      <c r="E9" s="342">
        <v>0</v>
      </c>
      <c r="F9" s="343">
        <v>338</v>
      </c>
      <c r="G9" s="144" t="s">
        <v>426</v>
      </c>
    </row>
    <row r="10" spans="1:11" ht="18.75" customHeight="1" thickBot="1">
      <c r="A10" s="147" t="s">
        <v>127</v>
      </c>
      <c r="B10" s="344">
        <v>1440</v>
      </c>
      <c r="C10" s="344">
        <v>69</v>
      </c>
      <c r="D10" s="344">
        <v>2</v>
      </c>
      <c r="E10" s="344">
        <v>0</v>
      </c>
      <c r="F10" s="343">
        <v>1511</v>
      </c>
      <c r="G10" s="145" t="s">
        <v>127</v>
      </c>
    </row>
    <row r="11" spans="1:11" ht="18.75" customHeight="1" thickBot="1">
      <c r="A11" s="147" t="s">
        <v>126</v>
      </c>
      <c r="B11" s="344">
        <v>1147</v>
      </c>
      <c r="C11" s="344">
        <v>142</v>
      </c>
      <c r="D11" s="344">
        <v>2</v>
      </c>
      <c r="E11" s="344">
        <v>0</v>
      </c>
      <c r="F11" s="343">
        <v>1291</v>
      </c>
      <c r="G11" s="145" t="s">
        <v>126</v>
      </c>
    </row>
    <row r="12" spans="1:11" ht="18.75" customHeight="1" thickBot="1">
      <c r="A12" s="147" t="s">
        <v>125</v>
      </c>
      <c r="B12" s="344">
        <v>476</v>
      </c>
      <c r="C12" s="344">
        <v>158</v>
      </c>
      <c r="D12" s="344">
        <v>2</v>
      </c>
      <c r="E12" s="344">
        <v>0</v>
      </c>
      <c r="F12" s="343">
        <v>636</v>
      </c>
      <c r="G12" s="145" t="s">
        <v>125</v>
      </c>
    </row>
    <row r="13" spans="1:11" ht="18.75" customHeight="1" thickBot="1">
      <c r="A13" s="147" t="s">
        <v>124</v>
      </c>
      <c r="B13" s="344">
        <v>229</v>
      </c>
      <c r="C13" s="344">
        <v>124</v>
      </c>
      <c r="D13" s="344">
        <v>6</v>
      </c>
      <c r="E13" s="344">
        <v>0</v>
      </c>
      <c r="F13" s="343">
        <v>359</v>
      </c>
      <c r="G13" s="145" t="s">
        <v>124</v>
      </c>
    </row>
    <row r="14" spans="1:11" ht="18.75" customHeight="1" thickBot="1">
      <c r="A14" s="147" t="s">
        <v>123</v>
      </c>
      <c r="B14" s="344">
        <v>70</v>
      </c>
      <c r="C14" s="344">
        <v>80</v>
      </c>
      <c r="D14" s="344">
        <v>2</v>
      </c>
      <c r="E14" s="344">
        <v>0</v>
      </c>
      <c r="F14" s="343">
        <v>152</v>
      </c>
      <c r="G14" s="145" t="s">
        <v>123</v>
      </c>
    </row>
    <row r="15" spans="1:11" ht="18.75" customHeight="1" thickBot="1">
      <c r="A15" s="147" t="s">
        <v>122</v>
      </c>
      <c r="B15" s="344">
        <v>22</v>
      </c>
      <c r="C15" s="344">
        <v>44</v>
      </c>
      <c r="D15" s="344">
        <v>4</v>
      </c>
      <c r="E15" s="344">
        <v>0</v>
      </c>
      <c r="F15" s="343">
        <v>70</v>
      </c>
      <c r="G15" s="145" t="s">
        <v>122</v>
      </c>
    </row>
    <row r="16" spans="1:11" ht="18.75" customHeight="1" thickBot="1">
      <c r="A16" s="147" t="s">
        <v>121</v>
      </c>
      <c r="B16" s="344">
        <v>9</v>
      </c>
      <c r="C16" s="344">
        <v>13</v>
      </c>
      <c r="D16" s="344">
        <v>1</v>
      </c>
      <c r="E16" s="344">
        <v>0</v>
      </c>
      <c r="F16" s="343">
        <v>23</v>
      </c>
      <c r="G16" s="145" t="s">
        <v>121</v>
      </c>
    </row>
    <row r="17" spans="1:7" ht="18.75" customHeight="1" thickBot="1">
      <c r="A17" s="147" t="s">
        <v>120</v>
      </c>
      <c r="B17" s="344">
        <v>1</v>
      </c>
      <c r="C17" s="344">
        <v>5</v>
      </c>
      <c r="D17" s="344">
        <v>1</v>
      </c>
      <c r="E17" s="344">
        <v>0</v>
      </c>
      <c r="F17" s="343">
        <v>7</v>
      </c>
      <c r="G17" s="145" t="s">
        <v>120</v>
      </c>
    </row>
    <row r="18" spans="1:7" ht="18.75" customHeight="1" thickBot="1">
      <c r="A18" s="147" t="s">
        <v>132</v>
      </c>
      <c r="B18" s="344">
        <v>0</v>
      </c>
      <c r="C18" s="344">
        <v>1</v>
      </c>
      <c r="D18" s="344">
        <v>2</v>
      </c>
      <c r="E18" s="344">
        <v>0</v>
      </c>
      <c r="F18" s="343">
        <v>3</v>
      </c>
      <c r="G18" s="145" t="s">
        <v>132</v>
      </c>
    </row>
    <row r="19" spans="1:7" ht="18.75" customHeight="1">
      <c r="A19" s="148" t="s">
        <v>14</v>
      </c>
      <c r="B19" s="345">
        <v>0</v>
      </c>
      <c r="C19" s="345">
        <v>0</v>
      </c>
      <c r="D19" s="345">
        <v>0</v>
      </c>
      <c r="E19" s="345">
        <v>0</v>
      </c>
      <c r="F19" s="441">
        <v>0</v>
      </c>
      <c r="G19" s="149" t="s">
        <v>15</v>
      </c>
    </row>
    <row r="20" spans="1:7" ht="18.75" customHeight="1">
      <c r="A20" s="981" t="s">
        <v>16</v>
      </c>
      <c r="B20" s="982">
        <f>SUBTOTAL(109,Table_Default__XLS_TAB_14_3[NOT_MARRIED])</f>
        <v>3726</v>
      </c>
      <c r="C20" s="982">
        <f>SUBTOTAL(109,Table_Default__XLS_TAB_14_3[DIVORCES])</f>
        <v>642</v>
      </c>
      <c r="D20" s="982">
        <f>SUBTOTAL(109,Table_Default__XLS_TAB_14_3[WIDOWED])</f>
        <v>22</v>
      </c>
      <c r="E20" s="982">
        <f>SUBTOTAL(109,Table_Default__XLS_TAB_14_3[NOT_STATED])</f>
        <v>0</v>
      </c>
      <c r="F20" s="982">
        <f>SUBTOTAL(109,Table_Default__XLS_TAB_14_3[TOTAL])</f>
        <v>4390</v>
      </c>
      <c r="G20" s="983" t="s">
        <v>55</v>
      </c>
    </row>
    <row r="21" spans="1:7" ht="18.75" customHeight="1">
      <c r="A21" s="788" t="s">
        <v>144</v>
      </c>
      <c r="B21" s="530">
        <f>B20/$F$20%</f>
        <v>84.874715261958997</v>
      </c>
      <c r="C21" s="530">
        <f>C20/$F$20%</f>
        <v>14.624145785876994</v>
      </c>
      <c r="D21" s="530">
        <f>D20/$F$20%</f>
        <v>0.50113895216400917</v>
      </c>
      <c r="E21" s="530">
        <f>E20/$F$20%</f>
        <v>0</v>
      </c>
      <c r="F21" s="530">
        <f>F20/$F$20%</f>
        <v>100</v>
      </c>
      <c r="G21" s="789" t="s">
        <v>19</v>
      </c>
    </row>
  </sheetData>
  <mergeCells count="7">
    <mergeCell ref="A7:A8"/>
    <mergeCell ref="B7:F7"/>
    <mergeCell ref="G7:G8"/>
    <mergeCell ref="A1:G1"/>
    <mergeCell ref="A2:G2"/>
    <mergeCell ref="A3:G3"/>
    <mergeCell ref="A4:G4"/>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21"/>
  <sheetViews>
    <sheetView rightToLeft="1" view="pageBreakPreview" zoomScaleNormal="100" zoomScaleSheetLayoutView="100" workbookViewId="0">
      <selection activeCell="E20" sqref="E20"/>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1041" t="s">
        <v>578</v>
      </c>
      <c r="B1" s="1041"/>
      <c r="C1" s="1142"/>
      <c r="D1" s="1041"/>
      <c r="E1" s="1041"/>
      <c r="F1" s="1041"/>
    </row>
    <row r="2" spans="1:10" ht="15.75">
      <c r="A2" s="1068" t="s">
        <v>577</v>
      </c>
      <c r="B2" s="1068"/>
      <c r="C2" s="1068"/>
      <c r="D2" s="1068"/>
      <c r="E2" s="1068"/>
      <c r="F2" s="1068"/>
    </row>
    <row r="3" spans="1:10" ht="18" customHeight="1">
      <c r="A3" s="1069">
        <v>2021</v>
      </c>
      <c r="B3" s="1069"/>
      <c r="C3" s="1069"/>
      <c r="D3" s="1069"/>
      <c r="E3" s="1069"/>
      <c r="F3" s="1069"/>
      <c r="G3" s="54"/>
      <c r="H3" s="54"/>
      <c r="I3" s="54"/>
      <c r="J3" s="54"/>
    </row>
    <row r="4" spans="1:10" ht="15.75">
      <c r="A4" s="1069" t="s">
        <v>52</v>
      </c>
      <c r="B4" s="1069"/>
      <c r="C4" s="1069"/>
      <c r="D4" s="1069"/>
      <c r="E4" s="1069"/>
      <c r="F4" s="1069"/>
    </row>
    <row r="5" spans="1:10" ht="15.75">
      <c r="A5" s="362"/>
      <c r="B5" s="362"/>
      <c r="C5" s="362"/>
      <c r="D5" s="362"/>
      <c r="E5" s="362"/>
      <c r="F5" s="362"/>
    </row>
    <row r="6" spans="1:10" s="29" customFormat="1" ht="15.75">
      <c r="A6" s="374" t="s">
        <v>205</v>
      </c>
      <c r="B6" s="375"/>
      <c r="C6" s="375"/>
      <c r="D6" s="375"/>
      <c r="E6" s="375"/>
      <c r="F6" s="376" t="s">
        <v>204</v>
      </c>
    </row>
    <row r="7" spans="1:10" ht="45" customHeight="1">
      <c r="A7" s="160" t="s">
        <v>178</v>
      </c>
      <c r="B7" s="160" t="s">
        <v>605</v>
      </c>
      <c r="C7" s="160" t="s">
        <v>606</v>
      </c>
      <c r="D7" s="160" t="s">
        <v>115</v>
      </c>
      <c r="E7" s="160" t="s">
        <v>177</v>
      </c>
      <c r="F7" s="533" t="s">
        <v>176</v>
      </c>
    </row>
    <row r="8" spans="1:10" ht="20.25" customHeight="1" thickBot="1">
      <c r="A8" s="792" t="s">
        <v>1094</v>
      </c>
      <c r="B8" s="342">
        <v>27</v>
      </c>
      <c r="C8" s="342">
        <v>198</v>
      </c>
      <c r="D8" s="343">
        <v>225</v>
      </c>
      <c r="E8" s="347">
        <v>6.1191188468860487</v>
      </c>
      <c r="F8" s="564" t="s">
        <v>1094</v>
      </c>
      <c r="H8" s="2" t="s">
        <v>133</v>
      </c>
      <c r="I8" s="166">
        <f>SUM(B8:B12)</f>
        <v>1740</v>
      </c>
      <c r="J8" s="166">
        <f>SUM(C8:C12)</f>
        <v>1843</v>
      </c>
    </row>
    <row r="9" spans="1:10" ht="20.25" customHeight="1" thickBot="1">
      <c r="A9" s="793" t="s">
        <v>5</v>
      </c>
      <c r="B9" s="344">
        <v>499</v>
      </c>
      <c r="C9" s="344">
        <v>899</v>
      </c>
      <c r="D9" s="343">
        <v>1398</v>
      </c>
      <c r="E9" s="348">
        <v>38.020125101985315</v>
      </c>
      <c r="F9" s="565" t="s">
        <v>5</v>
      </c>
      <c r="H9" s="2" t="s">
        <v>127</v>
      </c>
      <c r="I9" s="166">
        <f>SUM(B13:B17)</f>
        <v>62</v>
      </c>
      <c r="J9" s="166">
        <f>SUM(C13:C17)</f>
        <v>32</v>
      </c>
    </row>
    <row r="10" spans="1:10" ht="20.25" customHeight="1" thickBot="1">
      <c r="A10" s="793" t="s">
        <v>126</v>
      </c>
      <c r="B10" s="344">
        <v>868</v>
      </c>
      <c r="C10" s="344">
        <v>537</v>
      </c>
      <c r="D10" s="343">
        <v>1405</v>
      </c>
      <c r="E10" s="348">
        <v>38.210497688332879</v>
      </c>
      <c r="F10" s="565" t="s">
        <v>126</v>
      </c>
      <c r="I10" s="316">
        <v>552</v>
      </c>
      <c r="J10" s="316">
        <v>287</v>
      </c>
    </row>
    <row r="11" spans="1:10" ht="20.25" customHeight="1" thickBot="1">
      <c r="A11" s="793" t="s">
        <v>125</v>
      </c>
      <c r="B11" s="344">
        <v>283</v>
      </c>
      <c r="C11" s="344">
        <v>146</v>
      </c>
      <c r="D11" s="343">
        <v>429</v>
      </c>
      <c r="E11" s="348">
        <v>11.667119934729399</v>
      </c>
      <c r="F11" s="565" t="s">
        <v>125</v>
      </c>
      <c r="I11" s="177">
        <v>190</v>
      </c>
      <c r="J11" s="177">
        <v>92</v>
      </c>
    </row>
    <row r="12" spans="1:10" ht="20.25" customHeight="1" thickBot="1">
      <c r="A12" s="793" t="s">
        <v>124</v>
      </c>
      <c r="B12" s="344">
        <v>63</v>
      </c>
      <c r="C12" s="344">
        <v>63</v>
      </c>
      <c r="D12" s="343">
        <v>126</v>
      </c>
      <c r="E12" s="348">
        <v>3.426706554256187</v>
      </c>
      <c r="F12" s="565" t="s">
        <v>124</v>
      </c>
      <c r="I12" s="316">
        <v>37</v>
      </c>
      <c r="J12" s="316">
        <v>33</v>
      </c>
    </row>
    <row r="13" spans="1:10" ht="20.25" customHeight="1" thickBot="1">
      <c r="A13" s="793" t="s">
        <v>123</v>
      </c>
      <c r="B13" s="344">
        <v>32</v>
      </c>
      <c r="C13" s="344">
        <v>22</v>
      </c>
      <c r="D13" s="343">
        <v>54</v>
      </c>
      <c r="E13" s="348">
        <v>1.4685885232526517</v>
      </c>
      <c r="F13" s="565" t="s">
        <v>123</v>
      </c>
      <c r="I13" s="177">
        <v>20</v>
      </c>
      <c r="J13" s="177">
        <v>7</v>
      </c>
    </row>
    <row r="14" spans="1:10" ht="20.25" customHeight="1" thickBot="1">
      <c r="A14" s="793" t="s">
        <v>122</v>
      </c>
      <c r="B14" s="344">
        <v>13</v>
      </c>
      <c r="C14" s="344">
        <v>6</v>
      </c>
      <c r="D14" s="343">
        <v>19</v>
      </c>
      <c r="E14" s="348">
        <v>0.51672559151482189</v>
      </c>
      <c r="F14" s="565" t="s">
        <v>122</v>
      </c>
      <c r="I14" s="316">
        <v>9</v>
      </c>
      <c r="J14" s="316">
        <v>6</v>
      </c>
    </row>
    <row r="15" spans="1:10" ht="20.25" customHeight="1" thickBot="1">
      <c r="A15" s="793" t="s">
        <v>121</v>
      </c>
      <c r="B15" s="344">
        <v>6</v>
      </c>
      <c r="C15" s="344">
        <v>4</v>
      </c>
      <c r="D15" s="343">
        <v>10</v>
      </c>
      <c r="E15" s="348">
        <v>0.27196083763937995</v>
      </c>
      <c r="F15" s="565" t="s">
        <v>121</v>
      </c>
      <c r="I15" s="177">
        <v>2</v>
      </c>
      <c r="J15" s="177">
        <v>2</v>
      </c>
    </row>
    <row r="16" spans="1:10" ht="20.25" customHeight="1" thickBot="1">
      <c r="A16" s="793" t="s">
        <v>175</v>
      </c>
      <c r="B16" s="344">
        <v>10</v>
      </c>
      <c r="C16" s="344">
        <v>0</v>
      </c>
      <c r="D16" s="343">
        <v>10</v>
      </c>
      <c r="E16" s="348">
        <v>0.27196083763937995</v>
      </c>
      <c r="F16" s="565" t="s">
        <v>175</v>
      </c>
      <c r="I16" s="316">
        <v>0</v>
      </c>
      <c r="J16" s="316">
        <v>0</v>
      </c>
    </row>
    <row r="17" spans="1:6" ht="20.25" customHeight="1">
      <c r="A17" s="794" t="s">
        <v>14</v>
      </c>
      <c r="B17" s="345">
        <v>1</v>
      </c>
      <c r="C17" s="345">
        <v>0</v>
      </c>
      <c r="D17" s="441">
        <v>1</v>
      </c>
      <c r="E17" s="355">
        <v>2.7196083763937992E-2</v>
      </c>
      <c r="F17" s="566" t="s">
        <v>15</v>
      </c>
    </row>
    <row r="18" spans="1:6" ht="20.25" customHeight="1">
      <c r="A18" s="985" t="s">
        <v>16</v>
      </c>
      <c r="B18" s="986">
        <f>SUBTOTAL(109,Table_Default__XLS_TAB_15_1[HUSBD_CNT])</f>
        <v>1802</v>
      </c>
      <c r="C18" s="986">
        <f>SUBTOTAL(109,Table_Default__XLS_TAB_15_1[WIFE_CNT])</f>
        <v>1875</v>
      </c>
      <c r="D18" s="986">
        <f>SUBTOTAL(109,Table_Default__XLS_TAB_15_1[TOTAL])</f>
        <v>3677</v>
      </c>
      <c r="E18" s="987">
        <f>SUBTOTAL(109,Table_Default__XLS_TAB_15_1[PSTG])</f>
        <v>100</v>
      </c>
      <c r="F18" s="988" t="s">
        <v>55</v>
      </c>
    </row>
    <row r="19" spans="1:6" ht="20.25" customHeight="1">
      <c r="A19" s="501"/>
      <c r="B19" s="502"/>
      <c r="C19" s="502"/>
      <c r="D19" s="502"/>
      <c r="E19" s="503"/>
      <c r="F19" s="504"/>
    </row>
    <row r="20" spans="1:6">
      <c r="A20" s="320"/>
      <c r="B20" s="320"/>
      <c r="C20" s="320"/>
      <c r="D20" s="320"/>
      <c r="E20" s="320"/>
      <c r="F20" s="320"/>
    </row>
    <row r="21" spans="1:6">
      <c r="A21" s="320"/>
      <c r="B21" s="320"/>
      <c r="C21" s="320"/>
      <c r="D21" s="320"/>
      <c r="E21" s="320"/>
      <c r="F21" s="320"/>
    </row>
  </sheetData>
  <mergeCells count="4">
    <mergeCell ref="A1:F1"/>
    <mergeCell ref="A2:F2"/>
    <mergeCell ref="A3:F3"/>
    <mergeCell ref="A4:F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75"/>
  <sheetViews>
    <sheetView rightToLeft="1" view="pageBreakPreview" topLeftCell="A88" zoomScaleNormal="100" zoomScaleSheetLayoutView="100" workbookViewId="0">
      <selection activeCell="A94" sqref="A94:XFD94"/>
    </sheetView>
  </sheetViews>
  <sheetFormatPr defaultColWidth="9.140625" defaultRowHeight="12.75"/>
  <cols>
    <col min="1" max="1" width="40.7109375" style="5" customWidth="1"/>
    <col min="2" max="2" width="8.7109375" style="646" customWidth="1"/>
    <col min="3" max="3" width="8.7109375" style="645" customWidth="1"/>
    <col min="4" max="4" width="42.7109375" style="5" customWidth="1"/>
    <col min="5" max="6" width="9.140625" style="5"/>
    <col min="7" max="7" width="9.140625" style="5" customWidth="1"/>
    <col min="8" max="16384" width="9.140625" style="5"/>
  </cols>
  <sheetData>
    <row r="1" spans="1:4" ht="26.25" customHeight="1">
      <c r="A1" s="966" t="s">
        <v>1090</v>
      </c>
      <c r="B1" s="962"/>
      <c r="C1" s="962"/>
      <c r="D1" s="961" t="s">
        <v>847</v>
      </c>
    </row>
    <row r="2" spans="1:4" ht="4.5" customHeight="1">
      <c r="B2" s="676"/>
    </row>
    <row r="3" spans="1:4" ht="35.25" customHeight="1">
      <c r="A3" s="673" t="s">
        <v>853</v>
      </c>
      <c r="B3" s="675" t="s">
        <v>852</v>
      </c>
      <c r="C3" s="674" t="s">
        <v>851</v>
      </c>
      <c r="D3" s="673" t="s">
        <v>850</v>
      </c>
    </row>
    <row r="4" spans="1:4" s="648" customFormat="1" ht="21.75" customHeight="1">
      <c r="A4" s="672" t="s">
        <v>849</v>
      </c>
      <c r="B4" s="671"/>
      <c r="C4" s="771" t="s">
        <v>1020</v>
      </c>
      <c r="D4" s="670" t="s">
        <v>744</v>
      </c>
    </row>
    <row r="5" spans="1:4" s="648" customFormat="1" ht="21.75" customHeight="1">
      <c r="A5" s="672" t="s">
        <v>848</v>
      </c>
      <c r="B5" s="671"/>
      <c r="C5" s="771" t="s">
        <v>1021</v>
      </c>
      <c r="D5" s="670" t="s">
        <v>847</v>
      </c>
    </row>
    <row r="6" spans="1:4" s="648" customFormat="1" ht="21.75" customHeight="1">
      <c r="A6" s="672" t="s">
        <v>846</v>
      </c>
      <c r="B6" s="671"/>
      <c r="C6" s="771" t="s">
        <v>1022</v>
      </c>
      <c r="D6" s="670" t="s">
        <v>845</v>
      </c>
    </row>
    <row r="7" spans="1:4" s="648" customFormat="1" ht="21.75" customHeight="1">
      <c r="A7" s="672" t="s">
        <v>844</v>
      </c>
      <c r="B7" s="671"/>
      <c r="C7" s="771" t="s">
        <v>1023</v>
      </c>
      <c r="D7" s="670" t="s">
        <v>843</v>
      </c>
    </row>
    <row r="8" spans="1:4" s="648" customFormat="1" ht="21.75" customHeight="1">
      <c r="A8" s="672" t="s">
        <v>842</v>
      </c>
      <c r="B8" s="671"/>
      <c r="C8" s="771" t="s">
        <v>1024</v>
      </c>
      <c r="D8" s="670" t="s">
        <v>841</v>
      </c>
    </row>
    <row r="9" spans="1:4" s="648" customFormat="1" ht="24.75">
      <c r="A9" s="669" t="s">
        <v>840</v>
      </c>
      <c r="B9" s="668"/>
      <c r="C9" s="663"/>
      <c r="D9" s="662" t="s">
        <v>839</v>
      </c>
    </row>
    <row r="10" spans="1:4" s="648" customFormat="1" ht="25.5">
      <c r="A10" s="656" t="s">
        <v>1273</v>
      </c>
      <c r="B10" s="655">
        <v>1</v>
      </c>
      <c r="C10" s="654">
        <v>1</v>
      </c>
      <c r="D10" s="667" t="s">
        <v>1274</v>
      </c>
    </row>
    <row r="11" spans="1:4" s="648" customFormat="1" ht="25.5">
      <c r="A11" s="656" t="s">
        <v>1283</v>
      </c>
      <c r="B11" s="655">
        <v>2</v>
      </c>
      <c r="C11" s="654">
        <v>3</v>
      </c>
      <c r="D11" s="653" t="s">
        <v>1284</v>
      </c>
    </row>
    <row r="12" spans="1:4" s="648" customFormat="1" ht="21" customHeight="1">
      <c r="A12" s="666" t="s">
        <v>1275</v>
      </c>
      <c r="B12" s="655" t="s">
        <v>418</v>
      </c>
      <c r="C12" s="654">
        <v>4</v>
      </c>
      <c r="D12" s="653" t="s">
        <v>1276</v>
      </c>
    </row>
    <row r="13" spans="1:4" s="648" customFormat="1" ht="25.5">
      <c r="A13" s="656" t="s">
        <v>1277</v>
      </c>
      <c r="B13" s="655" t="s">
        <v>24</v>
      </c>
      <c r="C13" s="654">
        <v>6</v>
      </c>
      <c r="D13" s="653" t="s">
        <v>1278</v>
      </c>
    </row>
    <row r="14" spans="1:4" s="648" customFormat="1" ht="38.25">
      <c r="A14" s="656" t="s">
        <v>1279</v>
      </c>
      <c r="B14" s="655" t="s">
        <v>419</v>
      </c>
      <c r="C14" s="654">
        <v>8</v>
      </c>
      <c r="D14" s="653" t="s">
        <v>1280</v>
      </c>
    </row>
    <row r="15" spans="1:4" s="648" customFormat="1" ht="25.5">
      <c r="A15" s="656" t="s">
        <v>1107</v>
      </c>
      <c r="B15" s="655" t="s">
        <v>838</v>
      </c>
      <c r="C15" s="654">
        <v>10</v>
      </c>
      <c r="D15" s="653" t="s">
        <v>1108</v>
      </c>
    </row>
    <row r="16" spans="1:4" s="648" customFormat="1" ht="25.5">
      <c r="A16" s="656" t="s">
        <v>1109</v>
      </c>
      <c r="B16" s="655" t="s">
        <v>837</v>
      </c>
      <c r="C16" s="654">
        <v>12</v>
      </c>
      <c r="D16" s="653" t="s">
        <v>1110</v>
      </c>
    </row>
    <row r="17" spans="1:4" s="648" customFormat="1" ht="25.5">
      <c r="A17" s="656" t="s">
        <v>1111</v>
      </c>
      <c r="B17" s="655" t="s">
        <v>836</v>
      </c>
      <c r="C17" s="654">
        <v>13</v>
      </c>
      <c r="D17" s="653" t="s">
        <v>1112</v>
      </c>
    </row>
    <row r="18" spans="1:4" s="648" customFormat="1" ht="25.5">
      <c r="A18" s="656" t="s">
        <v>1113</v>
      </c>
      <c r="B18" s="655" t="s">
        <v>835</v>
      </c>
      <c r="C18" s="654">
        <v>15</v>
      </c>
      <c r="D18" s="653" t="s">
        <v>1114</v>
      </c>
    </row>
    <row r="19" spans="1:4" s="648" customFormat="1" ht="25.5">
      <c r="A19" s="656" t="s">
        <v>1115</v>
      </c>
      <c r="B19" s="655" t="s">
        <v>834</v>
      </c>
      <c r="C19" s="654">
        <v>16</v>
      </c>
      <c r="D19" s="653" t="s">
        <v>1116</v>
      </c>
    </row>
    <row r="20" spans="1:4" s="648" customFormat="1" ht="25.5">
      <c r="A20" s="656" t="s">
        <v>1117</v>
      </c>
      <c r="B20" s="655" t="s">
        <v>833</v>
      </c>
      <c r="C20" s="654">
        <v>17</v>
      </c>
      <c r="D20" s="653" t="s">
        <v>1118</v>
      </c>
    </row>
    <row r="21" spans="1:4" s="648" customFormat="1" ht="25.5">
      <c r="A21" s="656" t="s">
        <v>1119</v>
      </c>
      <c r="B21" s="655" t="s">
        <v>832</v>
      </c>
      <c r="C21" s="654">
        <v>18</v>
      </c>
      <c r="D21" s="653" t="s">
        <v>1120</v>
      </c>
    </row>
    <row r="22" spans="1:4" s="648" customFormat="1" ht="25.5">
      <c r="A22" s="656" t="s">
        <v>1121</v>
      </c>
      <c r="B22" s="655" t="s">
        <v>831</v>
      </c>
      <c r="C22" s="654">
        <v>19</v>
      </c>
      <c r="D22" s="653" t="s">
        <v>1122</v>
      </c>
    </row>
    <row r="23" spans="1:4" s="648" customFormat="1" ht="25.5">
      <c r="A23" s="656" t="s">
        <v>1123</v>
      </c>
      <c r="B23" s="655" t="s">
        <v>830</v>
      </c>
      <c r="C23" s="654">
        <v>20</v>
      </c>
      <c r="D23" s="653" t="s">
        <v>1124</v>
      </c>
    </row>
    <row r="24" spans="1:4" s="648" customFormat="1" ht="25.5">
      <c r="A24" s="656" t="s">
        <v>1125</v>
      </c>
      <c r="B24" s="655" t="s">
        <v>829</v>
      </c>
      <c r="C24" s="654">
        <v>21</v>
      </c>
      <c r="D24" s="653" t="s">
        <v>1126</v>
      </c>
    </row>
    <row r="25" spans="1:4" s="648" customFormat="1" ht="25.5">
      <c r="A25" s="656" t="s">
        <v>1127</v>
      </c>
      <c r="B25" s="655" t="s">
        <v>828</v>
      </c>
      <c r="C25" s="654">
        <v>22</v>
      </c>
      <c r="D25" s="653" t="s">
        <v>1128</v>
      </c>
    </row>
    <row r="26" spans="1:4" s="648" customFormat="1" ht="25.5">
      <c r="A26" s="656" t="s">
        <v>1129</v>
      </c>
      <c r="B26" s="655" t="s">
        <v>827</v>
      </c>
      <c r="C26" s="654">
        <v>23</v>
      </c>
      <c r="D26" s="653" t="s">
        <v>1130</v>
      </c>
    </row>
    <row r="27" spans="1:4" s="648" customFormat="1" ht="25.5">
      <c r="A27" s="656" t="s">
        <v>1131</v>
      </c>
      <c r="B27" s="655" t="s">
        <v>826</v>
      </c>
      <c r="C27" s="654">
        <v>24</v>
      </c>
      <c r="D27" s="653" t="s">
        <v>1132</v>
      </c>
    </row>
    <row r="28" spans="1:4" s="648" customFormat="1" ht="25.5">
      <c r="A28" s="656" t="s">
        <v>1133</v>
      </c>
      <c r="B28" s="655" t="s">
        <v>825</v>
      </c>
      <c r="C28" s="654">
        <v>25</v>
      </c>
      <c r="D28" s="653" t="s">
        <v>1134</v>
      </c>
    </row>
    <row r="29" spans="1:4" s="648" customFormat="1" ht="25.5">
      <c r="A29" s="656" t="s">
        <v>1135</v>
      </c>
      <c r="B29" s="655" t="s">
        <v>824</v>
      </c>
      <c r="C29" s="654">
        <v>26</v>
      </c>
      <c r="D29" s="653" t="s">
        <v>1136</v>
      </c>
    </row>
    <row r="30" spans="1:4" s="648" customFormat="1" ht="25.5">
      <c r="A30" s="652" t="s">
        <v>1137</v>
      </c>
      <c r="B30" s="651" t="s">
        <v>823</v>
      </c>
      <c r="C30" s="650">
        <v>27</v>
      </c>
      <c r="D30" s="649" t="s">
        <v>1138</v>
      </c>
    </row>
    <row r="31" spans="1:4" s="648" customFormat="1" ht="25.5">
      <c r="A31" s="656" t="s">
        <v>1139</v>
      </c>
      <c r="B31" s="655" t="s">
        <v>822</v>
      </c>
      <c r="C31" s="654">
        <v>28</v>
      </c>
      <c r="D31" s="653" t="s">
        <v>1140</v>
      </c>
    </row>
    <row r="32" spans="1:4" s="648" customFormat="1" ht="25.5">
      <c r="A32" s="656" t="s">
        <v>1141</v>
      </c>
      <c r="B32" s="655" t="s">
        <v>821</v>
      </c>
      <c r="C32" s="654">
        <v>29</v>
      </c>
      <c r="D32" s="653" t="s">
        <v>1142</v>
      </c>
    </row>
    <row r="33" spans="1:4" s="648" customFormat="1" ht="27.75" customHeight="1">
      <c r="A33" s="656" t="s">
        <v>1143</v>
      </c>
      <c r="B33" s="655" t="s">
        <v>820</v>
      </c>
      <c r="C33" s="654">
        <v>30</v>
      </c>
      <c r="D33" s="653" t="s">
        <v>1144</v>
      </c>
    </row>
    <row r="34" spans="1:4" s="648" customFormat="1" ht="25.5">
      <c r="A34" s="656" t="s">
        <v>1145</v>
      </c>
      <c r="B34" s="655" t="s">
        <v>819</v>
      </c>
      <c r="C34" s="654">
        <v>31</v>
      </c>
      <c r="D34" s="653" t="s">
        <v>1146</v>
      </c>
    </row>
    <row r="35" spans="1:4" s="648" customFormat="1" ht="25.5">
      <c r="A35" s="656" t="s">
        <v>1147</v>
      </c>
      <c r="B35" s="655" t="s">
        <v>818</v>
      </c>
      <c r="C35" s="654">
        <v>32</v>
      </c>
      <c r="D35" s="653" t="s">
        <v>1148</v>
      </c>
    </row>
    <row r="36" spans="1:4" s="648" customFormat="1" ht="25.5">
      <c r="A36" s="656" t="s">
        <v>1149</v>
      </c>
      <c r="B36" s="655" t="s">
        <v>817</v>
      </c>
      <c r="C36" s="654">
        <v>33</v>
      </c>
      <c r="D36" s="653" t="s">
        <v>1150</v>
      </c>
    </row>
    <row r="37" spans="1:4" s="648" customFormat="1" ht="25.5">
      <c r="A37" s="656" t="s">
        <v>1151</v>
      </c>
      <c r="B37" s="655" t="s">
        <v>816</v>
      </c>
      <c r="C37" s="654">
        <v>34</v>
      </c>
      <c r="D37" s="653" t="s">
        <v>1152</v>
      </c>
    </row>
    <row r="38" spans="1:4" s="648" customFormat="1" ht="25.5">
      <c r="A38" s="656" t="s">
        <v>1153</v>
      </c>
      <c r="B38" s="655" t="s">
        <v>815</v>
      </c>
      <c r="C38" s="654">
        <v>36</v>
      </c>
      <c r="D38" s="653" t="s">
        <v>1154</v>
      </c>
    </row>
    <row r="39" spans="1:4" s="648" customFormat="1" ht="25.5">
      <c r="A39" s="656" t="s">
        <v>1155</v>
      </c>
      <c r="B39" s="655" t="s">
        <v>814</v>
      </c>
      <c r="C39" s="654">
        <v>37</v>
      </c>
      <c r="D39" s="653" t="s">
        <v>1156</v>
      </c>
    </row>
    <row r="40" spans="1:4" s="648" customFormat="1" ht="25.5">
      <c r="A40" s="656" t="s">
        <v>1157</v>
      </c>
      <c r="B40" s="655" t="s">
        <v>813</v>
      </c>
      <c r="C40" s="654">
        <v>38</v>
      </c>
      <c r="D40" s="653" t="s">
        <v>1158</v>
      </c>
    </row>
    <row r="41" spans="1:4" s="648" customFormat="1" ht="38.25">
      <c r="A41" s="656" t="s">
        <v>1159</v>
      </c>
      <c r="B41" s="655" t="s">
        <v>812</v>
      </c>
      <c r="C41" s="654">
        <v>40</v>
      </c>
      <c r="D41" s="653" t="s">
        <v>1160</v>
      </c>
    </row>
    <row r="42" spans="1:4" s="648" customFormat="1" ht="38.25">
      <c r="A42" s="656" t="s">
        <v>1161</v>
      </c>
      <c r="B42" s="655" t="s">
        <v>811</v>
      </c>
      <c r="C42" s="654">
        <v>41</v>
      </c>
      <c r="D42" s="653" t="s">
        <v>1162</v>
      </c>
    </row>
    <row r="43" spans="1:4" s="648" customFormat="1" ht="38.25">
      <c r="A43" s="656" t="s">
        <v>1163</v>
      </c>
      <c r="B43" s="655" t="s">
        <v>810</v>
      </c>
      <c r="C43" s="654">
        <v>42</v>
      </c>
      <c r="D43" s="653" t="s">
        <v>1164</v>
      </c>
    </row>
    <row r="44" spans="1:4" s="648" customFormat="1" ht="25.5">
      <c r="A44" s="656" t="s">
        <v>1165</v>
      </c>
      <c r="B44" s="655" t="s">
        <v>809</v>
      </c>
      <c r="C44" s="654">
        <v>43</v>
      </c>
      <c r="D44" s="653" t="s">
        <v>1166</v>
      </c>
    </row>
    <row r="45" spans="1:4" s="648" customFormat="1" ht="25.5">
      <c r="A45" s="656" t="s">
        <v>1167</v>
      </c>
      <c r="B45" s="655" t="s">
        <v>808</v>
      </c>
      <c r="C45" s="654">
        <v>44</v>
      </c>
      <c r="D45" s="653" t="s">
        <v>1168</v>
      </c>
    </row>
    <row r="46" spans="1:4" s="648" customFormat="1" ht="24.75">
      <c r="A46" s="665" t="s">
        <v>807</v>
      </c>
      <c r="B46" s="664"/>
      <c r="C46" s="663"/>
      <c r="D46" s="662" t="s">
        <v>806</v>
      </c>
    </row>
    <row r="47" spans="1:4" s="648" customFormat="1" ht="38.25">
      <c r="A47" s="656" t="s">
        <v>1281</v>
      </c>
      <c r="B47" s="655" t="s">
        <v>805</v>
      </c>
      <c r="C47" s="654">
        <v>49</v>
      </c>
      <c r="D47" s="653" t="s">
        <v>1282</v>
      </c>
    </row>
    <row r="48" spans="1:4" s="648" customFormat="1" ht="25.5">
      <c r="A48" s="656" t="s">
        <v>1169</v>
      </c>
      <c r="B48" s="655" t="s">
        <v>804</v>
      </c>
      <c r="C48" s="654">
        <v>51</v>
      </c>
      <c r="D48" s="653" t="s">
        <v>1170</v>
      </c>
    </row>
    <row r="49" spans="1:4" s="648" customFormat="1" ht="25.5">
      <c r="A49" s="656" t="s">
        <v>1171</v>
      </c>
      <c r="B49" s="655" t="s">
        <v>803</v>
      </c>
      <c r="C49" s="654">
        <v>53</v>
      </c>
      <c r="D49" s="653" t="s">
        <v>1172</v>
      </c>
    </row>
    <row r="50" spans="1:4" s="648" customFormat="1" ht="25.5">
      <c r="A50" s="656" t="s">
        <v>1173</v>
      </c>
      <c r="B50" s="655" t="s">
        <v>802</v>
      </c>
      <c r="C50" s="654">
        <v>55</v>
      </c>
      <c r="D50" s="653" t="s">
        <v>1174</v>
      </c>
    </row>
    <row r="51" spans="1:4" s="648" customFormat="1" ht="25.5">
      <c r="A51" s="656" t="s">
        <v>1175</v>
      </c>
      <c r="B51" s="655" t="s">
        <v>801</v>
      </c>
      <c r="C51" s="654">
        <v>58</v>
      </c>
      <c r="D51" s="653" t="s">
        <v>1176</v>
      </c>
    </row>
    <row r="52" spans="1:4" s="648" customFormat="1" ht="25.5">
      <c r="A52" s="656" t="s">
        <v>1177</v>
      </c>
      <c r="B52" s="655" t="s">
        <v>800</v>
      </c>
      <c r="C52" s="654">
        <v>59</v>
      </c>
      <c r="D52" s="653" t="s">
        <v>1178</v>
      </c>
    </row>
    <row r="53" spans="1:4" s="648" customFormat="1" ht="25.5">
      <c r="A53" s="656" t="s">
        <v>1179</v>
      </c>
      <c r="B53" s="655" t="s">
        <v>799</v>
      </c>
      <c r="C53" s="654">
        <v>60</v>
      </c>
      <c r="D53" s="653" t="s">
        <v>1180</v>
      </c>
    </row>
    <row r="54" spans="1:4" s="648" customFormat="1" ht="25.5">
      <c r="A54" s="656" t="s">
        <v>1181</v>
      </c>
      <c r="B54" s="655" t="s">
        <v>798</v>
      </c>
      <c r="C54" s="654">
        <v>61</v>
      </c>
      <c r="D54" s="653" t="s">
        <v>1182</v>
      </c>
    </row>
    <row r="55" spans="1:4" s="648" customFormat="1" ht="25.5">
      <c r="A55" s="652" t="s">
        <v>1183</v>
      </c>
      <c r="B55" s="651" t="s">
        <v>797</v>
      </c>
      <c r="C55" s="650">
        <v>62</v>
      </c>
      <c r="D55" s="649" t="s">
        <v>1184</v>
      </c>
    </row>
    <row r="56" spans="1:4" s="648" customFormat="1" ht="25.5">
      <c r="A56" s="656" t="s">
        <v>1185</v>
      </c>
      <c r="B56" s="655" t="s">
        <v>796</v>
      </c>
      <c r="C56" s="654">
        <v>63</v>
      </c>
      <c r="D56" s="653" t="s">
        <v>1186</v>
      </c>
    </row>
    <row r="57" spans="1:4" s="648" customFormat="1" ht="25.5">
      <c r="A57" s="656" t="s">
        <v>1187</v>
      </c>
      <c r="B57" s="655" t="s">
        <v>795</v>
      </c>
      <c r="C57" s="654">
        <v>64</v>
      </c>
      <c r="D57" s="653" t="s">
        <v>1188</v>
      </c>
    </row>
    <row r="58" spans="1:4" s="648" customFormat="1" ht="25.5">
      <c r="A58" s="656" t="s">
        <v>1189</v>
      </c>
      <c r="B58" s="655" t="s">
        <v>794</v>
      </c>
      <c r="C58" s="654">
        <v>65</v>
      </c>
      <c r="D58" s="653" t="s">
        <v>1190</v>
      </c>
    </row>
    <row r="59" spans="1:4" s="648" customFormat="1" ht="25.5">
      <c r="A59" s="656" t="s">
        <v>1191</v>
      </c>
      <c r="B59" s="655" t="s">
        <v>793</v>
      </c>
      <c r="C59" s="654">
        <v>66</v>
      </c>
      <c r="D59" s="653" t="s">
        <v>1192</v>
      </c>
    </row>
    <row r="60" spans="1:4" s="648" customFormat="1" ht="25.5">
      <c r="A60" s="656" t="s">
        <v>1193</v>
      </c>
      <c r="B60" s="655" t="s">
        <v>792</v>
      </c>
      <c r="C60" s="654">
        <v>67</v>
      </c>
      <c r="D60" s="653" t="s">
        <v>1194</v>
      </c>
    </row>
    <row r="61" spans="1:4" s="648" customFormat="1" ht="38.25">
      <c r="A61" s="656" t="s">
        <v>1195</v>
      </c>
      <c r="B61" s="655" t="s">
        <v>791</v>
      </c>
      <c r="C61" s="654">
        <v>68</v>
      </c>
      <c r="D61" s="653" t="s">
        <v>1196</v>
      </c>
    </row>
    <row r="62" spans="1:4" s="648" customFormat="1" ht="25.5">
      <c r="A62" s="656" t="s">
        <v>1197</v>
      </c>
      <c r="B62" s="655" t="s">
        <v>790</v>
      </c>
      <c r="C62" s="654">
        <v>69</v>
      </c>
      <c r="D62" s="653" t="s">
        <v>1198</v>
      </c>
    </row>
    <row r="63" spans="1:4" s="648" customFormat="1" ht="25.5">
      <c r="A63" s="656" t="s">
        <v>1199</v>
      </c>
      <c r="B63" s="655" t="s">
        <v>789</v>
      </c>
      <c r="C63" s="654">
        <v>70</v>
      </c>
      <c r="D63" s="653" t="s">
        <v>1200</v>
      </c>
    </row>
    <row r="64" spans="1:4" s="648" customFormat="1" ht="25.5">
      <c r="A64" s="656" t="s">
        <v>1201</v>
      </c>
      <c r="B64" s="655" t="s">
        <v>788</v>
      </c>
      <c r="C64" s="654">
        <v>71</v>
      </c>
      <c r="D64" s="653" t="s">
        <v>1202</v>
      </c>
    </row>
    <row r="65" spans="1:4" s="648" customFormat="1" ht="25.5">
      <c r="A65" s="656" t="s">
        <v>1203</v>
      </c>
      <c r="B65" s="655" t="s">
        <v>787</v>
      </c>
      <c r="C65" s="654">
        <v>72</v>
      </c>
      <c r="D65" s="653" t="s">
        <v>1204</v>
      </c>
    </row>
    <row r="66" spans="1:4" s="648" customFormat="1" ht="25.5">
      <c r="A66" s="656" t="s">
        <v>1205</v>
      </c>
      <c r="B66" s="655" t="s">
        <v>786</v>
      </c>
      <c r="C66" s="654">
        <v>73</v>
      </c>
      <c r="D66" s="653" t="s">
        <v>1206</v>
      </c>
    </row>
    <row r="67" spans="1:4" s="648" customFormat="1" ht="25.5">
      <c r="A67" s="656" t="s">
        <v>1207</v>
      </c>
      <c r="B67" s="655" t="s">
        <v>785</v>
      </c>
      <c r="C67" s="654">
        <v>74</v>
      </c>
      <c r="D67" s="653" t="s">
        <v>1208</v>
      </c>
    </row>
    <row r="68" spans="1:4" s="648" customFormat="1" ht="25.5">
      <c r="A68" s="656" t="s">
        <v>1209</v>
      </c>
      <c r="B68" s="655" t="s">
        <v>784</v>
      </c>
      <c r="C68" s="654">
        <v>75</v>
      </c>
      <c r="D68" s="653" t="s">
        <v>1210</v>
      </c>
    </row>
    <row r="69" spans="1:4" s="648" customFormat="1" ht="25.5">
      <c r="A69" s="656" t="s">
        <v>1211</v>
      </c>
      <c r="B69" s="655" t="s">
        <v>783</v>
      </c>
      <c r="C69" s="654">
        <v>76</v>
      </c>
      <c r="D69" s="653" t="s">
        <v>1212</v>
      </c>
    </row>
    <row r="70" spans="1:4" s="648" customFormat="1" ht="25.5">
      <c r="A70" s="656" t="s">
        <v>1213</v>
      </c>
      <c r="B70" s="655" t="s">
        <v>782</v>
      </c>
      <c r="C70" s="654">
        <v>77</v>
      </c>
      <c r="D70" s="653" t="s">
        <v>1214</v>
      </c>
    </row>
    <row r="71" spans="1:4" s="648" customFormat="1" ht="25.5">
      <c r="A71" s="656" t="s">
        <v>1215</v>
      </c>
      <c r="B71" s="655" t="s">
        <v>781</v>
      </c>
      <c r="C71" s="654">
        <v>78</v>
      </c>
      <c r="D71" s="653" t="s">
        <v>1216</v>
      </c>
    </row>
    <row r="72" spans="1:4" s="648" customFormat="1" ht="25.5">
      <c r="A72" s="656" t="s">
        <v>1217</v>
      </c>
      <c r="B72" s="655" t="s">
        <v>780</v>
      </c>
      <c r="C72" s="654">
        <v>79</v>
      </c>
      <c r="D72" s="653" t="s">
        <v>1218</v>
      </c>
    </row>
    <row r="73" spans="1:4" s="648" customFormat="1" ht="25.5">
      <c r="A73" s="656" t="s">
        <v>1219</v>
      </c>
      <c r="B73" s="655" t="s">
        <v>779</v>
      </c>
      <c r="C73" s="654">
        <v>80</v>
      </c>
      <c r="D73" s="653" t="s">
        <v>1220</v>
      </c>
    </row>
    <row r="74" spans="1:4" s="648" customFormat="1" ht="25.5">
      <c r="A74" s="656" t="s">
        <v>1221</v>
      </c>
      <c r="B74" s="655" t="s">
        <v>778</v>
      </c>
      <c r="C74" s="654">
        <v>81</v>
      </c>
      <c r="D74" s="653" t="s">
        <v>1222</v>
      </c>
    </row>
    <row r="75" spans="1:4" s="648" customFormat="1" ht="25.5">
      <c r="A75" s="656" t="s">
        <v>1223</v>
      </c>
      <c r="B75" s="655" t="s">
        <v>777</v>
      </c>
      <c r="C75" s="654">
        <v>82</v>
      </c>
      <c r="D75" s="653" t="s">
        <v>1224</v>
      </c>
    </row>
    <row r="76" spans="1:4" s="648" customFormat="1" ht="25.5">
      <c r="A76" s="656" t="s">
        <v>1225</v>
      </c>
      <c r="B76" s="655" t="s">
        <v>776</v>
      </c>
      <c r="C76" s="654">
        <v>83</v>
      </c>
      <c r="D76" s="653" t="s">
        <v>1226</v>
      </c>
    </row>
    <row r="77" spans="1:4" s="648" customFormat="1" ht="25.5">
      <c r="A77" s="656" t="s">
        <v>1227</v>
      </c>
      <c r="B77" s="655" t="s">
        <v>775</v>
      </c>
      <c r="C77" s="654">
        <v>85</v>
      </c>
      <c r="D77" s="653" t="s">
        <v>1228</v>
      </c>
    </row>
    <row r="78" spans="1:4" s="648" customFormat="1" ht="25.5">
      <c r="A78" s="656" t="s">
        <v>1229</v>
      </c>
      <c r="B78" s="655" t="s">
        <v>774</v>
      </c>
      <c r="C78" s="654">
        <v>86</v>
      </c>
      <c r="D78" s="653" t="s">
        <v>1230</v>
      </c>
    </row>
    <row r="79" spans="1:4" s="648" customFormat="1" ht="25.5">
      <c r="A79" s="656" t="s">
        <v>1231</v>
      </c>
      <c r="B79" s="655" t="s">
        <v>773</v>
      </c>
      <c r="C79" s="654">
        <v>87</v>
      </c>
      <c r="D79" s="653" t="s">
        <v>1232</v>
      </c>
    </row>
    <row r="80" spans="1:4" s="648" customFormat="1" ht="25.5">
      <c r="A80" s="656" t="s">
        <v>1233</v>
      </c>
      <c r="B80" s="655" t="s">
        <v>772</v>
      </c>
      <c r="C80" s="654">
        <v>88</v>
      </c>
      <c r="D80" s="653" t="s">
        <v>1234</v>
      </c>
    </row>
    <row r="81" spans="1:4" s="648" customFormat="1" ht="25.5">
      <c r="A81" s="656" t="s">
        <v>1235</v>
      </c>
      <c r="B81" s="655" t="s">
        <v>771</v>
      </c>
      <c r="C81" s="654">
        <v>90</v>
      </c>
      <c r="D81" s="653" t="s">
        <v>1236</v>
      </c>
    </row>
    <row r="82" spans="1:4" s="648" customFormat="1" ht="25.5">
      <c r="A82" s="652" t="s">
        <v>1237</v>
      </c>
      <c r="B82" s="651" t="s">
        <v>770</v>
      </c>
      <c r="C82" s="650">
        <v>91</v>
      </c>
      <c r="D82" s="649" t="s">
        <v>1238</v>
      </c>
    </row>
    <row r="83" spans="1:4" s="648" customFormat="1" ht="25.5">
      <c r="A83" s="656" t="s">
        <v>1239</v>
      </c>
      <c r="B83" s="655" t="s">
        <v>769</v>
      </c>
      <c r="C83" s="654">
        <v>92</v>
      </c>
      <c r="D83" s="653" t="s">
        <v>1240</v>
      </c>
    </row>
    <row r="84" spans="1:4" s="648" customFormat="1" ht="25.5">
      <c r="A84" s="656" t="s">
        <v>1241</v>
      </c>
      <c r="B84" s="655" t="s">
        <v>768</v>
      </c>
      <c r="C84" s="654">
        <v>93</v>
      </c>
      <c r="D84" s="653" t="s">
        <v>1242</v>
      </c>
    </row>
    <row r="85" spans="1:4" s="648" customFormat="1" ht="25.5">
      <c r="A85" s="656" t="s">
        <v>1243</v>
      </c>
      <c r="B85" s="655" t="s">
        <v>767</v>
      </c>
      <c r="C85" s="654">
        <v>94</v>
      </c>
      <c r="D85" s="653" t="s">
        <v>1244</v>
      </c>
    </row>
    <row r="86" spans="1:4" s="648" customFormat="1" ht="25.5">
      <c r="A86" s="656" t="s">
        <v>1245</v>
      </c>
      <c r="B86" s="655" t="s">
        <v>766</v>
      </c>
      <c r="C86" s="654">
        <v>95</v>
      </c>
      <c r="D86" s="653" t="s">
        <v>1246</v>
      </c>
    </row>
    <row r="87" spans="1:4" s="648" customFormat="1" ht="38.25">
      <c r="A87" s="656" t="s">
        <v>1247</v>
      </c>
      <c r="B87" s="655" t="s">
        <v>765</v>
      </c>
      <c r="C87" s="654">
        <v>97</v>
      </c>
      <c r="D87" s="653" t="s">
        <v>1248</v>
      </c>
    </row>
    <row r="88" spans="1:4" s="648" customFormat="1" ht="38.25">
      <c r="A88" s="656" t="s">
        <v>1249</v>
      </c>
      <c r="B88" s="655" t="s">
        <v>764</v>
      </c>
      <c r="C88" s="654">
        <v>99</v>
      </c>
      <c r="D88" s="653" t="s">
        <v>1250</v>
      </c>
    </row>
    <row r="89" spans="1:4" s="648" customFormat="1" ht="30" customHeight="1">
      <c r="A89" s="656" t="s">
        <v>1251</v>
      </c>
      <c r="B89" s="655" t="s">
        <v>763</v>
      </c>
      <c r="C89" s="654">
        <v>101</v>
      </c>
      <c r="D89" s="653" t="s">
        <v>1252</v>
      </c>
    </row>
    <row r="90" spans="1:4" s="648" customFormat="1" ht="25.5">
      <c r="A90" s="656" t="s">
        <v>1253</v>
      </c>
      <c r="B90" s="655" t="s">
        <v>762</v>
      </c>
      <c r="C90" s="654">
        <v>103</v>
      </c>
      <c r="D90" s="653" t="s">
        <v>1254</v>
      </c>
    </row>
    <row r="91" spans="1:4" s="648" customFormat="1" ht="25.5">
      <c r="A91" s="656" t="s">
        <v>1255</v>
      </c>
      <c r="B91" s="655" t="s">
        <v>761</v>
      </c>
      <c r="C91" s="654">
        <v>105</v>
      </c>
      <c r="D91" s="653" t="s">
        <v>1256</v>
      </c>
    </row>
    <row r="92" spans="1:4" s="648" customFormat="1" ht="25.5">
      <c r="A92" s="656" t="s">
        <v>1257</v>
      </c>
      <c r="B92" s="655" t="s">
        <v>760</v>
      </c>
      <c r="C92" s="654">
        <v>107</v>
      </c>
      <c r="D92" s="653" t="s">
        <v>1258</v>
      </c>
    </row>
    <row r="93" spans="1:4" s="648" customFormat="1" ht="25.5">
      <c r="A93" s="656" t="s">
        <v>1259</v>
      </c>
      <c r="B93" s="655" t="s">
        <v>759</v>
      </c>
      <c r="C93" s="654">
        <v>109</v>
      </c>
      <c r="D93" s="653" t="s">
        <v>1260</v>
      </c>
    </row>
    <row r="94" spans="1:4" s="648" customFormat="1" ht="25.5">
      <c r="A94" s="656" t="s">
        <v>1261</v>
      </c>
      <c r="B94" s="655" t="s">
        <v>758</v>
      </c>
      <c r="C94" s="654">
        <v>110</v>
      </c>
      <c r="D94" s="653" t="s">
        <v>1262</v>
      </c>
    </row>
    <row r="95" spans="1:4" s="648" customFormat="1" ht="25.5">
      <c r="A95" s="656" t="s">
        <v>1263</v>
      </c>
      <c r="B95" s="655" t="s">
        <v>757</v>
      </c>
      <c r="C95" s="654">
        <v>111</v>
      </c>
      <c r="D95" s="653" t="s">
        <v>1264</v>
      </c>
    </row>
    <row r="96" spans="1:4" s="648" customFormat="1" ht="25.5">
      <c r="A96" s="656" t="s">
        <v>1265</v>
      </c>
      <c r="B96" s="655" t="s">
        <v>756</v>
      </c>
      <c r="C96" s="654">
        <v>112</v>
      </c>
      <c r="D96" s="653" t="s">
        <v>1266</v>
      </c>
    </row>
    <row r="97" spans="1:7" s="648" customFormat="1" ht="38.25">
      <c r="A97" s="656" t="s">
        <v>1267</v>
      </c>
      <c r="B97" s="655" t="s">
        <v>755</v>
      </c>
      <c r="C97" s="654">
        <v>114</v>
      </c>
      <c r="D97" s="653" t="s">
        <v>1268</v>
      </c>
    </row>
    <row r="98" spans="1:7" s="648" customFormat="1" ht="25.5">
      <c r="A98" s="656" t="s">
        <v>1269</v>
      </c>
      <c r="B98" s="655" t="s">
        <v>754</v>
      </c>
      <c r="C98" s="654">
        <v>115</v>
      </c>
      <c r="D98" s="653" t="s">
        <v>1270</v>
      </c>
      <c r="G98" s="661"/>
    </row>
    <row r="99" spans="1:7" s="648" customFormat="1" ht="25.5">
      <c r="A99" s="656" t="s">
        <v>1271</v>
      </c>
      <c r="B99" s="655" t="s">
        <v>753</v>
      </c>
      <c r="C99" s="654">
        <v>116</v>
      </c>
      <c r="D99" s="653" t="s">
        <v>1272</v>
      </c>
      <c r="G99" s="661"/>
    </row>
    <row r="100" spans="1:7" s="648" customFormat="1" ht="24.75">
      <c r="A100" s="660" t="s">
        <v>752</v>
      </c>
      <c r="B100" s="659"/>
      <c r="C100" s="658"/>
      <c r="D100" s="657" t="s">
        <v>751</v>
      </c>
    </row>
    <row r="101" spans="1:7" s="648" customFormat="1" ht="17.25" customHeight="1">
      <c r="A101" s="656" t="s">
        <v>750</v>
      </c>
      <c r="B101" s="655" t="s">
        <v>747</v>
      </c>
      <c r="C101" s="654">
        <v>119</v>
      </c>
      <c r="D101" s="653" t="s">
        <v>749</v>
      </c>
    </row>
    <row r="102" spans="1:7" s="648" customFormat="1" ht="17.25" customHeight="1">
      <c r="A102" s="652" t="s">
        <v>748</v>
      </c>
      <c r="B102" s="651" t="s">
        <v>747</v>
      </c>
      <c r="C102" s="650">
        <v>120</v>
      </c>
      <c r="D102" s="649" t="s">
        <v>746</v>
      </c>
    </row>
    <row r="104" spans="1:7">
      <c r="B104" s="647"/>
      <c r="C104" s="5"/>
    </row>
    <row r="105" spans="1:7" ht="31.5" customHeight="1">
      <c r="B105" s="647"/>
      <c r="C105" s="5"/>
    </row>
    <row r="106" spans="1:7">
      <c r="B106" s="647"/>
      <c r="C106" s="5"/>
    </row>
    <row r="107" spans="1:7">
      <c r="B107" s="647"/>
      <c r="C107" s="5"/>
    </row>
    <row r="108" spans="1:7" ht="30" customHeight="1">
      <c r="B108" s="647"/>
      <c r="C108" s="5"/>
    </row>
    <row r="109" spans="1:7" ht="30" customHeight="1">
      <c r="B109" s="647"/>
      <c r="C109" s="5"/>
    </row>
    <row r="110" spans="1:7" ht="30" customHeight="1">
      <c r="B110" s="647"/>
      <c r="C110" s="5"/>
    </row>
    <row r="111" spans="1:7" ht="30" customHeight="1">
      <c r="B111" s="647"/>
      <c r="C111" s="5"/>
    </row>
    <row r="112" spans="1:7" ht="30" customHeight="1">
      <c r="B112" s="647"/>
      <c r="C112" s="5"/>
    </row>
    <row r="113" spans="2:3" ht="30" customHeight="1">
      <c r="B113" s="647"/>
      <c r="C113" s="5"/>
    </row>
    <row r="114" spans="2:3" ht="30" customHeight="1">
      <c r="B114" s="647"/>
      <c r="C114" s="5"/>
    </row>
    <row r="115" spans="2:3" ht="30" customHeight="1">
      <c r="B115" s="647"/>
      <c r="C115" s="5"/>
    </row>
    <row r="116" spans="2:3" ht="30" customHeight="1">
      <c r="B116" s="647"/>
      <c r="C116" s="5"/>
    </row>
    <row r="117" spans="2:3" ht="30" customHeight="1">
      <c r="B117" s="647"/>
      <c r="C117" s="5"/>
    </row>
    <row r="118" spans="2:3" ht="12.75" customHeight="1">
      <c r="B118" s="647"/>
      <c r="C118" s="5"/>
    </row>
    <row r="119" spans="2:3" ht="90.75" customHeight="1">
      <c r="B119" s="647"/>
      <c r="C119" s="5"/>
    </row>
    <row r="120" spans="2:3">
      <c r="B120" s="647"/>
      <c r="C120" s="5"/>
    </row>
    <row r="121" spans="2:3">
      <c r="B121" s="647"/>
      <c r="C121" s="5"/>
    </row>
    <row r="122" spans="2:3">
      <c r="B122" s="647"/>
      <c r="C122" s="5"/>
    </row>
    <row r="123" spans="2:3">
      <c r="B123" s="647"/>
      <c r="C123" s="5"/>
    </row>
    <row r="124" spans="2:3">
      <c r="B124" s="647"/>
      <c r="C124" s="5"/>
    </row>
    <row r="125" spans="2:3">
      <c r="B125" s="647"/>
      <c r="C125" s="5"/>
    </row>
    <row r="126" spans="2:3">
      <c r="B126" s="647"/>
      <c r="C126" s="5"/>
    </row>
    <row r="127" spans="2:3">
      <c r="B127" s="647"/>
      <c r="C127" s="5"/>
    </row>
    <row r="128" spans="2:3">
      <c r="B128" s="647"/>
      <c r="C128" s="5"/>
    </row>
    <row r="129" spans="2:3">
      <c r="B129" s="647"/>
      <c r="C129" s="5"/>
    </row>
    <row r="130" spans="2:3">
      <c r="B130" s="647"/>
      <c r="C130" s="5"/>
    </row>
    <row r="131" spans="2:3">
      <c r="B131" s="647"/>
      <c r="C131" s="5"/>
    </row>
    <row r="132" spans="2:3">
      <c r="B132" s="647"/>
      <c r="C132" s="5"/>
    </row>
    <row r="133" spans="2:3">
      <c r="B133" s="647"/>
      <c r="C133" s="5"/>
    </row>
    <row r="134" spans="2:3">
      <c r="B134" s="647"/>
      <c r="C134" s="5"/>
    </row>
    <row r="135" spans="2:3">
      <c r="B135" s="647"/>
      <c r="C135" s="5"/>
    </row>
    <row r="136" spans="2:3">
      <c r="B136" s="647"/>
      <c r="C136" s="5"/>
    </row>
    <row r="137" spans="2:3">
      <c r="B137" s="647"/>
      <c r="C137" s="5"/>
    </row>
    <row r="138" spans="2:3">
      <c r="B138" s="647"/>
      <c r="C138" s="5"/>
    </row>
    <row r="139" spans="2:3">
      <c r="B139" s="647"/>
      <c r="C139" s="5"/>
    </row>
    <row r="140" spans="2:3">
      <c r="B140" s="647"/>
      <c r="C140" s="5"/>
    </row>
    <row r="141" spans="2:3">
      <c r="B141" s="647"/>
      <c r="C141" s="5"/>
    </row>
    <row r="142" spans="2:3">
      <c r="B142" s="647"/>
      <c r="C142" s="5"/>
    </row>
    <row r="143" spans="2:3">
      <c r="B143" s="647"/>
      <c r="C143" s="5"/>
    </row>
    <row r="144" spans="2:3">
      <c r="B144" s="647"/>
      <c r="C144" s="5"/>
    </row>
    <row r="145" spans="2:3">
      <c r="B145" s="647"/>
      <c r="C145" s="5"/>
    </row>
    <row r="146" spans="2:3">
      <c r="B146" s="647"/>
      <c r="C146" s="5"/>
    </row>
    <row r="147" spans="2:3">
      <c r="B147" s="647"/>
      <c r="C147" s="5"/>
    </row>
    <row r="148" spans="2:3">
      <c r="B148" s="647"/>
      <c r="C148" s="5"/>
    </row>
    <row r="149" spans="2:3">
      <c r="B149" s="647"/>
      <c r="C149" s="5"/>
    </row>
    <row r="150" spans="2:3">
      <c r="B150" s="647"/>
      <c r="C150" s="5"/>
    </row>
    <row r="151" spans="2:3">
      <c r="B151" s="647"/>
      <c r="C151" s="5"/>
    </row>
    <row r="152" spans="2:3">
      <c r="B152" s="647"/>
      <c r="C152" s="5"/>
    </row>
    <row r="153" spans="2:3">
      <c r="B153" s="647"/>
      <c r="C153" s="5"/>
    </row>
    <row r="154" spans="2:3">
      <c r="B154" s="647"/>
      <c r="C154" s="5"/>
    </row>
    <row r="155" spans="2:3">
      <c r="B155" s="647"/>
      <c r="C155" s="5"/>
    </row>
    <row r="156" spans="2:3">
      <c r="B156" s="647"/>
      <c r="C156" s="5"/>
    </row>
    <row r="157" spans="2:3">
      <c r="B157" s="647"/>
      <c r="C157" s="5"/>
    </row>
    <row r="158" spans="2:3">
      <c r="B158" s="647"/>
      <c r="C158" s="5"/>
    </row>
    <row r="159" spans="2:3">
      <c r="B159" s="647"/>
      <c r="C159" s="5"/>
    </row>
    <row r="160" spans="2:3">
      <c r="B160" s="647"/>
      <c r="C160" s="5"/>
    </row>
    <row r="161" spans="2:3">
      <c r="B161" s="647"/>
      <c r="C161" s="5"/>
    </row>
    <row r="162" spans="2:3">
      <c r="B162" s="647"/>
      <c r="C162" s="5"/>
    </row>
    <row r="163" spans="2:3">
      <c r="B163" s="647"/>
      <c r="C163" s="5"/>
    </row>
    <row r="164" spans="2:3">
      <c r="B164" s="647"/>
      <c r="C164" s="5"/>
    </row>
    <row r="165" spans="2:3">
      <c r="B165" s="647"/>
      <c r="C165" s="5"/>
    </row>
    <row r="166" spans="2:3">
      <c r="B166" s="647"/>
      <c r="C166" s="5"/>
    </row>
    <row r="167" spans="2:3">
      <c r="B167" s="647"/>
      <c r="C167" s="5"/>
    </row>
    <row r="168" spans="2:3">
      <c r="B168" s="647"/>
      <c r="C168" s="5"/>
    </row>
    <row r="169" spans="2:3">
      <c r="B169" s="647"/>
      <c r="C169" s="5"/>
    </row>
    <row r="170" spans="2:3">
      <c r="B170" s="647"/>
      <c r="C170" s="5"/>
    </row>
    <row r="171" spans="2:3">
      <c r="B171" s="647"/>
      <c r="C171" s="5"/>
    </row>
    <row r="172" spans="2:3">
      <c r="B172" s="647"/>
      <c r="C172" s="5"/>
    </row>
    <row r="173" spans="2:3">
      <c r="B173" s="647"/>
      <c r="C173" s="5"/>
    </row>
    <row r="174" spans="2:3">
      <c r="B174" s="647"/>
      <c r="C174" s="5"/>
    </row>
    <row r="175" spans="2:3">
      <c r="B175" s="647"/>
      <c r="C175" s="5"/>
    </row>
  </sheetData>
  <hyperlinks>
    <hyperlink ref="A13:D13" location="'4'!A1" display="'4'!A1"/>
    <hyperlink ref="A14:D14" location="'5'!A1" display="عقود الزواج حسب جنسية الزوج والزوجة ومكان إقامة الزوج (2009) "/>
    <hyperlink ref="A16:D16" location="'7'!A1" display="عقود الزواج حسب جنسية الزوجة والزوج (2009)"/>
    <hyperlink ref="A17:D17" location="'8'!A1" display="عقود الزواج حسب فئة عمر الزوج وجنسيته (2009)"/>
    <hyperlink ref="A18:D18" location="'9'!A1" display="عقود الزواج حسب فئة عمر الزوجة وجنسيتها (2009)"/>
    <hyperlink ref="A19:D19" location="'10'!A1" display="عقود الزواج حسب فئة عمر الزوجة وجنسيتها (2010)"/>
    <hyperlink ref="A20:D20" location="'11-1'!A1" display="عقود الزواج حسب فئة عمر الزوجة والزوج (قطريون) (2010)"/>
    <hyperlink ref="A21:D21" location="'11-2'!A1" display="عقود الزواج حسب فئة عمر الزوجة والزوج (غير قطريين) (2010)"/>
    <hyperlink ref="A22:D22" location="'11-3'!A1" display="عقود الزواج حسب فئة عمر الزوجة والزوج (المجموع) (2010)"/>
    <hyperlink ref="A23:D23" location="'12-1'!A1" display="عقود الزواج حسب عدد الزوجات بالعصمة وفئة عمر الزوج (قطريون) (2010)"/>
    <hyperlink ref="A24:D24" location="'12-2'!A1" display="عقــود الزواج حسب عدد الزوجـات بالعصمــة وفئة عمر الزوج (غير قطريين) (2010)"/>
    <hyperlink ref="A28:D28" location="'13-3'!A1" display="عقود الزواج حسب الحالة الزواجية وفئة عمر الزوج (المجموع) (2010)"/>
    <hyperlink ref="A29:D29" location="'14-1'!A1" display="عقود الزواج حسب الحالة الزواجية للزوجة وفئة عمرها (قطريات) (2010)"/>
    <hyperlink ref="A30:D30" location="'14-2'!A1" display="'14-2'!A1"/>
    <hyperlink ref="A31:D31" location="'14-3'!A1" display="عقود الزواج حسب الحالة الزواجية للزوجة وفئة عمرها (المجموع) (2010)"/>
    <hyperlink ref="A32:D32" location="'15-1'!A1" display="عقود الزواج الأول للزوج والزوجة حسب العمر (قطريون) (2010)"/>
    <hyperlink ref="A34:D34" location="'15-3'!A1" display="عقود الزواج الأول للزوج والزوجة حسب العمر (المجموع) (2010)"/>
    <hyperlink ref="A35:D35" location="'16-1'!A1" display="عقود الزواج حسب الحالة التعليمية للزوجة والزوج (قطريون) (2010)"/>
    <hyperlink ref="A36:D36" location="'16-2'!A1" display="'16-2'!A1"/>
    <hyperlink ref="A37:D37" location="'16-3'!A1" display="عقود الزواج حسب الحالة التعليمية للزوجة والزوج (المجموع) (2010)"/>
    <hyperlink ref="A38:D38" location="'17-1'!A1" display="عقود الزواج حسب مهنة الزوجة والزوج (قطريون) (2010)"/>
    <hyperlink ref="A39:D39" location="'17-2'!A1" display="عقود الزواج حسب مهنة الزوجة والزوج (غير قطريين) (2010)"/>
    <hyperlink ref="A40:D40" location="'17-3'!A1" display="عقود الزواج حسب مهنة الزوجة والزوج (المجموع) (2010)"/>
    <hyperlink ref="A41:D41" location="'18-1'!A1" display="عقود الزواج للقطريين حسب صلة القرابة وفئة عمر الزوجة والزوج (قرابة من الدرجة الأولى) (2010)"/>
    <hyperlink ref="A42:D42" location="'18-2'!A1" display="عقود الزواج للقطريين حسب صلة القرابة وفئة عمر الزوجة والزوج (قرابة من الدرجة الثانية) (2010)"/>
    <hyperlink ref="A25:D25" location="'12-3'!A1" display="عقود الزواج حسب عدد الزوجات بالعصمة وفئة عمر الزوج (المجموع) (2010)"/>
    <hyperlink ref="A26:D26" location="'13-1'!A1" display="عقود الزواج حسب الحالة الزواجية وفئة عمر الزوج (قطريون) (2010)"/>
    <hyperlink ref="A27:D27" location="'13-2'!A1" display="عقود الزواج حسب الحالة الزواجية وفئة عمر الزوج (غير قطريين) (2010)"/>
    <hyperlink ref="A49:D49" location="'23'!A1" display="اشهادات الطلاق حسب جنسية الزوج والزوجة والشهر (2010)"/>
    <hyperlink ref="A50:D50" location="'24'!A1" display="اشهادات الطلاق حسب نوع الطلاق وجنسية الزوج (2010)"/>
    <hyperlink ref="A51:D51" location="'25-1'!A1" display="اشهادات الطلاق حسب نوع الطلاق وفئة عمر الزوج (قطريون) (2010)"/>
    <hyperlink ref="A52:D52" location="'25-2'!A1" display="'25-2'!A1"/>
    <hyperlink ref="A53:D53" location="'25-3'!A1" display="اشهادات الطلاق حسب نوع الطلاق وفئة عمر الزوج (المجموع) (2010)"/>
    <hyperlink ref="A54:D54" location="'26-1'!A1" display="اشهادات الطلاق حسب نوع الطلاق وفئة عمر الزوجة (قطريات) (2010)"/>
    <hyperlink ref="A55:D55" location="'26-2'!A1" display="'26-2'!A1"/>
    <hyperlink ref="A56:D56" location="'26-3'!A1" display="اشهادات الطلاق حسب نوع الطلاق وفئة عمر الزوجة (المجموع) (2010)"/>
    <hyperlink ref="A58:D58" location="'28.1'!A1" display="اشهادات الطلاق حسب نوع الطلاق ومدة الحياة الزواجية للزوج (قطريون) (2011)"/>
    <hyperlink ref="A59:D59" location="'28.2'!A1" display="اشهادات الطلاق حسب نوع الطلاق ومدة الحياة الزواجية للزوج (غير قطريين) (2011)"/>
    <hyperlink ref="A60:D60" location="'28.3'!A1" display="اشهادات الطلاق حسب نوع الطلاق ومدة الحياة الزواجية للزوج (المجموع) (2011)"/>
    <hyperlink ref="A62:D62" location="'30.1'!A1" display="اشهادات الطلاق حسب نوع الطلاق ومدة الحياة الزواجية للزوجة (قطريات) (2011)"/>
    <hyperlink ref="A63:D63" location="'30.2'!A1" display="اشهادات الطلاق حسب نوع الطلاق ومدة الحياة الزواجية للزوجة (غيرقطريات) (2011)"/>
    <hyperlink ref="A64:D64" location="'30.3'!A1" display="اشهادات الطلاق حسب نوع الطلاق ومدة الحياة الزواجية للزوجة (المجموع) (2011)"/>
    <hyperlink ref="A65:D65" location="'31.1'!A1" display="اشهادات الطلاق حسب مدة الحياة الزواجية وفئة عمر الزوج (قطريون) (2011)"/>
    <hyperlink ref="A66:D66" location="'31.2'!A1" display="'31.2'!A1"/>
    <hyperlink ref="A67:D67" location="'31.3'!A1" display="'31.3'!A1"/>
    <hyperlink ref="A68:D68" location="'32.1'!A1" display="اشهادات الطلاق حسب مدة الحياة الزواجية وفئة عمر الزوجة (قطريات) (2011)"/>
    <hyperlink ref="A69:D69" location="'32.2'!A1" display="'32.2'!A1"/>
    <hyperlink ref="A70:D70" location="'32.3'!A1" display="'32.3'!A1"/>
    <hyperlink ref="A71:D71" location="'33.1'!A1" display="اشهادات الطلاق حسب فئة عمر الزوجة والزوج (قطريون) (2011)"/>
    <hyperlink ref="A72:D72" location="'33.2'!A1" display="اشهادات الطلاق حسب فئة عمر الزوجة والزوج (غير قطريين) (2011)"/>
    <hyperlink ref="A73:D73" location="'33.3'!A1" display="اشهادات الطلاق حسب فئة عمر الزوجة والزوج (المجموع) (2011)"/>
    <hyperlink ref="A74:D74" location="'34'!A1" display="اشهادات الطلاق حسب فئة عمر الزوج وجنسيته (2011)"/>
    <hyperlink ref="A75:D75" location="'35'!A1" display="اشهادات الطلاق حسب فئة عمر الزوجة وجنسيتها (2011)"/>
    <hyperlink ref="A76:D76" location="'36'!A1" display="اشهادات الطلاق حسب جنسية الزوجة والزوج (2011)"/>
    <hyperlink ref="A77:D77" location="'37'!A1" display="إشهادات الطلاق حسب عدد الزوجات بالعصمة وفئة عمر الزوج (2011)"/>
    <hyperlink ref="A78:D78" location="'38.1'!A1" display="اشهادات الطلاق حسب الحالة التعليمية للزوجة والزوج (قطريون) (2011)"/>
    <hyperlink ref="A79:D79" location="'38.2'!A1" display="'38.2'!A1"/>
    <hyperlink ref="A80:D80" location="'38.3'!A1" display="اشهادات الطلاق حسب الحالة التعليمية للزوجة والزوج (المجموع) (2011)"/>
    <hyperlink ref="A81:D81" location="'39.1'!A1" display="اشهادات الطلاق حسب الحالة التعليمية للزوجة وفئة عمرها (قطريات) (2011)"/>
    <hyperlink ref="A82:D82" location="'39.2'!A1" display="'39.2'!A1"/>
    <hyperlink ref="A83:D83" location="'39.3'!A1" display="اشهادات الطلاق حسب الحالة التعليمية للزوجة وفئة عمرها (المجموع) (2011)"/>
    <hyperlink ref="A84:D84" location="'40.1'!A1" display="اشهادات الطلاق حسب مهنة الزوجة والزوج (قطريون) (2011)"/>
    <hyperlink ref="A85:D85" location="'40.2'!A1" display="اشهادات الطلاق حسب مهنة الزوجة والزوج (غير قطريين) (2011)"/>
    <hyperlink ref="A86:D86" location="'40.3'!A1" display="اشهادات الطلاق حسب مهنة الزوجة والزوج (المجموع) (2011)"/>
    <hyperlink ref="A87:D87" location="'41.1'!A1" display="إشهادات الطلاق للقطريين حسب صلة القرابة وفئة عمر الزوج والزوجة (القرابة من الدرجة الأولى) (2011)"/>
    <hyperlink ref="A88:D88" location="'41.2'!A1" display="إشهادات الطلاق للقطريين حسب صلة القرابة وفئة عمر الزوج والزوجة (القرابة من الدرجة الثانية) (2011)"/>
    <hyperlink ref="A89:D89" location="'41.3'!A1" display="إشهادات الطلاق للقطريين حسب صلة القرابة وفئة عمر الزوج والزوجة (لا توجد صلة قرابة) (2011)"/>
    <hyperlink ref="A90:D90" location="'42-1'!A1" display="عدد الأبناء للمطلقة حسب فئة عمرالزوج والزوجة (قطريات) (2011)"/>
    <hyperlink ref="A91:D91" location="'42-2'!A1" display="عدد الأبناء للمطلقة حسب فئة عمرالزوج والزوجة (غير قطريات) (2011)"/>
    <hyperlink ref="A92:D92" location="'42-3'!A1" display="عدد الأبناء للمطلقة حسب فئة عمرالزوج والزوجة (المجموع) (2011)"/>
    <hyperlink ref="A93:D93" location="'43-1'!A1" display="إشهادات الطلاق حسب عدد الأبناء وفئة عمر الزوجة (قطريات) (2011)"/>
    <hyperlink ref="A94:D94" location="'43-2'!A1" display="إشهادات الطلاق حسب عدد الأبناء وفئة عمر الزوجة(غير قطريات) (2011)"/>
    <hyperlink ref="A95:D95" location="'43-3'!A1" display="إشهادات الطلاق حسب عدد الأبناء وفئة عمر الزوجة(المجموع) (2011)"/>
    <hyperlink ref="A101:D101" location="زواج!A1" display="1 - كشف عقود زواج"/>
    <hyperlink ref="A102:D102" location="طلاق!A1" display="2 - كشف اشهادات الطلاق"/>
    <hyperlink ref="A47:D47" location="'21'!A1" display="معدل الطلاق العام حسب الجنسية والجنس لكل الف من السكان (15 سنة فأكثر) (2001 - 2010)"/>
    <hyperlink ref="A97:D97" location="'45'!A1" display="إشهادات الطلاق حسب جنسية الزوج والزوجة وعدد أبناء الزوجة ومدة الحياة الزواجية للزوج"/>
    <hyperlink ref="A96:D96" location="'44'!A1" display="إشهادات الطلاق حسب عدد أبناء الزوجة وجنسية الزوج والزوجة"/>
    <hyperlink ref="A11:D11" location="'2'!A1" display="عقود الزواج واشهادات الطلاق لفاقدين القيد حسب الجنسية"/>
    <hyperlink ref="A43:D43" location="'18-3'!A1" display="عقود الزواج للقطريين حسب صلة القرابة وفئة عمر الزوجة والزوج (لا توجد صلة قرابة) (2010)"/>
    <hyperlink ref="A44:D44" location="'19'!A1" display="عقود الزواج حسب عدد أبناء الزوج وجنسية الزوج والزوجة"/>
    <hyperlink ref="A45:D45" location="'20'!A1" display="عقود الزواج حسب عدد أبناء الزوجة وجنسية الزوج والزوجة"/>
    <hyperlink ref="A57:D57" location="'27'!A1" display="إشهادات الطلاق حسب نوع الطلاق وطالب الطلاق وجنسية الزوج والزوجة"/>
    <hyperlink ref="A61:D61" location="'29'!A1" display="إشهادات الطلاق حسب جنسية الزوج والزوجة وعدد طالبي الطلاق ومدة الحياة الزواجية للزوج"/>
    <hyperlink ref="A98:D98" location="'46'!A1" display="عدد الأبناء للمطلقة من الزوج الحالي حسب جنسية الزوجة"/>
    <hyperlink ref="A99:D99" location="'47'!A1" display="عدد الأبناء للمطلقة من الأزواج السابقين حسب جنسية الزوجة"/>
    <hyperlink ref="D11" r:id="rId1" location="'2'!A1" display="Bulletin_Marriages_Divorces_DB_2013.xlsx - '2'!A1"/>
    <hyperlink ref="D13" r:id="rId2" location="'4'!A1" display="Bulletin_Marriages_Divorces_DB_2013.xlsx - '4'!A1"/>
    <hyperlink ref="D14" r:id="rId3" location="'5'!A1" display="Bulletin_Marriages_Divorces_DB_2013.xlsx - '5'!A1"/>
    <hyperlink ref="D16" r:id="rId4" location="'7'!A1" display="Bulletin_Marriages_Divorces_DB_2013.xlsx - '7'!A1"/>
    <hyperlink ref="D17" r:id="rId5" location="'8'!A1" display="Bulletin_Marriages_Divorces_DB_2013.xlsx - '8'!A1"/>
    <hyperlink ref="D18" r:id="rId6" location="'9'!A1" display="Bulletin_Marriages_Divorces_DB_2013.xlsx - '9'!A1"/>
    <hyperlink ref="D19" r:id="rId7" location="'10'!A1" display="Bulletin_Marriages_Divorces_DB_2013.xlsx - '10'!A1"/>
    <hyperlink ref="D20" r:id="rId8" location="'11-1'!A1" display="Bulletin_Marriages_Divorces_DB_2013.xlsx - '11-1'!A1"/>
    <hyperlink ref="D21" r:id="rId9" location="'11-2'!A1" display="Bulletin_Marriages_Divorces_DB_2013.xlsx - '11-2'!A1"/>
    <hyperlink ref="D22" r:id="rId10" location="'11-3'!A1" display="Bulletin_Marriages_Divorces_DB_2013.xlsx - '11-3'!A1"/>
    <hyperlink ref="D23" r:id="rId11" location="'12-1'!A1" display="Bulletin_Marriages_Divorces_DB_2013.xlsx - '12-1'!A1"/>
    <hyperlink ref="D24" r:id="rId12" location="'12-2'!A1" display="Bulletin_Marriages_Divorces_DB_2013.xlsx - '12-2'!A1"/>
    <hyperlink ref="D25" r:id="rId13" location="'12-3'!A1" display="Bulletin_Marriages_Divorces_DB_2013.xlsx - '12-3'!A1"/>
    <hyperlink ref="D26" r:id="rId14" location="'13-1'!A1" display="Bulletin_Marriages_Divorces_DB_2013.xlsx - '13-1'!A1"/>
    <hyperlink ref="D27" r:id="rId15" location="'13-2'!A1" display="Bulletin_Marriages_Divorces_DB_2013.xlsx - '13-2'!A1"/>
    <hyperlink ref="D28" r:id="rId16" location="'13-3'!A1" display="Bulletin_Marriages_Divorces_DB_2013.xlsx - '13-3'!A1"/>
    <hyperlink ref="D29" r:id="rId17" location="'14-1'!A1" display="Bulletin_Marriages_Divorces_DB_2013.xlsx - '14-1'!A1"/>
    <hyperlink ref="D30" r:id="rId18" location="'14-2'!A1" display="Bulletin_Marriages_Divorces_DB_2013.xlsx - '14-2'!A1"/>
    <hyperlink ref="D31" r:id="rId19" location="'14-3'!A1" display="Bulletin_Marriages_Divorces_DB_2013.xlsx - '14-3'!A1"/>
    <hyperlink ref="D32" r:id="rId20" location="'15-1'!A1" display="Bulletin_Marriages_Divorces_DB_2013.xlsx - '15-1'!A1"/>
    <hyperlink ref="D34" r:id="rId21" location="'15-3'!A1" display="Bulletin_Marriages_Divorces_DB_2013.xlsx - '15-3'!A1"/>
    <hyperlink ref="D35" r:id="rId22" location="'16-1'!A1" display="Bulletin_Marriages_Divorces_DB_2013.xlsx - '16-1'!A1"/>
    <hyperlink ref="D36" r:id="rId23" location="'16-2'!A1" display="Bulletin_Marriages_Divorces_DB_2013.xlsx - '16-2'!A1"/>
    <hyperlink ref="D37" r:id="rId24" location="'16-3'!A1" display="Bulletin_Marriages_Divorces_DB_2013.xlsx - '16-3'!A1"/>
    <hyperlink ref="D38" r:id="rId25" location="'17-1'!A1" display="Bulletin_Marriages_Divorces_DB_2013.xlsx - '17-1'!A1"/>
    <hyperlink ref="D39" r:id="rId26" location="'17-2'!A1" display="Bulletin_Marriages_Divorces_DB_2013.xlsx - '17-2'!A1"/>
    <hyperlink ref="D40" r:id="rId27" location="'17-3'!A1" display="Bulletin_Marriages_Divorces_DB_2013.xlsx - '17-3'!A1"/>
    <hyperlink ref="D41" r:id="rId28" location="'18-1'!A1" display="Bulletin_Marriages_Divorces_DB_2013.xlsx - '18-1'!A1"/>
    <hyperlink ref="D42" r:id="rId29" location="'18-2'!A1" display="Bulletin_Marriages_Divorces_DB_2013.xlsx - '18-2'!A1"/>
    <hyperlink ref="D43" r:id="rId30" location="'18-3'!A1" display="Bulletin_Marriages_Divorces_DB_2013.xlsx - '18-3'!A1"/>
    <hyperlink ref="D44" r:id="rId31" location="'19'!A1" display="Bulletin_Marriages_Divorces_DB_2013.xlsx - '19'!A1"/>
    <hyperlink ref="D45" r:id="rId32" location="'20'!A1" display="Bulletin_Marriages_Divorces_DB_2013.xlsx - '20'!A1"/>
    <hyperlink ref="D47" r:id="rId33" location="'21'!A1" display="Bulletin_Marriages_Divorces_DB_2013.xlsx - '21'!A1"/>
    <hyperlink ref="D49" r:id="rId34" location="'23'!A1" display="Bulletin_Marriages_Divorces_DB_2013.xlsx - '23'!A1"/>
    <hyperlink ref="D50" r:id="rId35" location="'24'!A1" display="Bulletin_Marriages_Divorces_DB_2013.xlsx - '24'!A1"/>
    <hyperlink ref="D51" r:id="rId36" location="'25-1'!A1" display="Bulletin_Marriages_Divorces_DB_2013.xlsx - '25-1'!A1"/>
    <hyperlink ref="D52" r:id="rId37" location="'25-2'!A1" display="Bulletin_Marriages_Divorces_DB_2013.xlsx - '25-2'!A1"/>
    <hyperlink ref="D53" r:id="rId38" location="'25-3'!A1" display="Bulletin_Marriages_Divorces_DB_2013.xlsx - '25-3'!A1"/>
    <hyperlink ref="D54" r:id="rId39" location="'26-1'!A1" display="Bulletin_Marriages_Divorces_DB_2013.xlsx - '26-1'!A1"/>
    <hyperlink ref="D55" r:id="rId40" location="'26-2'!A1" display="Bulletin_Marriages_Divorces_DB_2013.xlsx - '26-2'!A1"/>
    <hyperlink ref="D56" r:id="rId41" location="'26-3'!A1" display="Bulletin_Marriages_Divorces_DB_2013.xlsx - '26-3'!A1"/>
    <hyperlink ref="D57" r:id="rId42" location="'27'!A1" display="Bulletin_Marriages_Divorces_DB_2013.xlsx - '27'!A1"/>
    <hyperlink ref="D58" r:id="rId43" location="'28.1'!A1" display="Bulletin_Marriages_Divorces_DB_2013.xlsx - '28.1'!A1"/>
    <hyperlink ref="D59" r:id="rId44" location="'28.2'!A1" display="Bulletin_Marriages_Divorces_DB_2013.xlsx - '28.2'!A1"/>
    <hyperlink ref="D60" r:id="rId45" location="'28.3'!A1" display="Bulletin_Marriages_Divorces_DB_2013.xlsx - '28.3'!A1"/>
    <hyperlink ref="D61" r:id="rId46" location="'29'!A1" display="Bulletin_Marriages_Divorces_DB_2013.xlsx - '29'!A1"/>
    <hyperlink ref="D62" r:id="rId47" location="'30.1'!A1" display="Bulletin_Marriages_Divorces_DB_2013.xlsx - '30.1'!A1"/>
    <hyperlink ref="D63" r:id="rId48" location="'30.2'!A1" display="Bulletin_Marriages_Divorces_DB_2013.xlsx - '30.2'!A1"/>
    <hyperlink ref="D64" r:id="rId49" location="'30.3'!A1" display="Bulletin_Marriages_Divorces_DB_2013.xlsx - '30.3'!A1"/>
    <hyperlink ref="D65" r:id="rId50" location="'31.1'!A1" display="Bulletin_Marriages_Divorces_DB_2013.xlsx - '31.1'!A1"/>
    <hyperlink ref="D66" r:id="rId51" location="'31.2'!A1" display="Bulletin_Marriages_Divorces_DB_2013.xlsx - '31.2'!A1"/>
    <hyperlink ref="D67" r:id="rId52" location="'31.3'!A1" display="Bulletin_Marriages_Divorces_DB_2013.xlsx - '31.3'!A1"/>
    <hyperlink ref="D68" r:id="rId53" location="'32.1'!A1" display="Bulletin_Marriages_Divorces_DB_2013.xlsx - '32.1'!A1"/>
    <hyperlink ref="D69" r:id="rId54" location="'32.2'!A1" display="Bulletin_Marriages_Divorces_DB_2013.xlsx - '32.2'!A1"/>
    <hyperlink ref="D70" r:id="rId55" location="'32.3'!A1" display="Bulletin_Marriages_Divorces_DB_2013.xlsx - '32.3'!A1"/>
    <hyperlink ref="D71" r:id="rId56" location="'33.1'!A1" display="Bulletin_Marriages_Divorces_DB_2013.xlsx - '33.1'!A1"/>
    <hyperlink ref="D72" r:id="rId57" location="'33.2'!A1" display="Bulletin_Marriages_Divorces_DB_2013.xlsx - '33.2'!A1"/>
    <hyperlink ref="D73" r:id="rId58" location="'33.3'!A1" display="Bulletin_Marriages_Divorces_DB_2013.xlsx - '33.3'!A1"/>
    <hyperlink ref="D74" r:id="rId59" location="'34'!A1" display="Bulletin_Marriages_Divorces_DB_2013.xlsx - '34'!A1"/>
    <hyperlink ref="D75" r:id="rId60" location="'35'!A1" display="Bulletin_Marriages_Divorces_DB_2013.xlsx - '35'!A1"/>
    <hyperlink ref="D76" r:id="rId61" location="'36'!A1" display="Bulletin_Marriages_Divorces_DB_2013.xlsx - '36'!A1"/>
    <hyperlink ref="D77" r:id="rId62" location="'37'!A1" display="Bulletin_Marriages_Divorces_DB_2013.xlsx - '37'!A1"/>
    <hyperlink ref="D78" r:id="rId63" location="'38.1'!A1" display="Bulletin_Marriages_Divorces_DB_2013.xlsx - '38.1'!A1"/>
    <hyperlink ref="D79" r:id="rId64" location="'38.2'!A1" display="Bulletin_Marriages_Divorces_DB_2013.xlsx - '38.2'!A1"/>
    <hyperlink ref="D80" r:id="rId65" location="'38.3'!A1" display="Bulletin_Marriages_Divorces_DB_2013.xlsx - '38.3'!A1"/>
    <hyperlink ref="D81" r:id="rId66" location="'39.1'!A1" display="Bulletin_Marriages_Divorces_DB_2013.xlsx - '39.1'!A1"/>
    <hyperlink ref="D82" r:id="rId67" location="'39.2'!A1" display="Bulletin_Marriages_Divorces_DB_2013.xlsx - '39.2'!A1"/>
    <hyperlink ref="D83" r:id="rId68" location="'39.3'!A1" display="Bulletin_Marriages_Divorces_DB_2013.xlsx - '39.3'!A1"/>
    <hyperlink ref="D84" r:id="rId69" location="'40.1'!A1" display="Bulletin_Marriages_Divorces_DB_2013.xlsx - '40.1'!A1"/>
    <hyperlink ref="D85" r:id="rId70" location="'40.2'!A1" display="Bulletin_Marriages_Divorces_DB_2013.xlsx - '40.2'!A1"/>
    <hyperlink ref="D86" r:id="rId71" location="'40.3'!A1" display="Bulletin_Marriages_Divorces_DB_2013.xlsx - '40.3'!A1"/>
    <hyperlink ref="D87" r:id="rId72" location="'41.1'!A1" display="Bulletin_Marriages_Divorces_DB_2013.xlsx - '41.1'!A1"/>
    <hyperlink ref="D88" r:id="rId73" location="'41.2'!A1" display="Bulletin_Marriages_Divorces_DB_2013.xlsx - '41.2'!A1"/>
    <hyperlink ref="D89" r:id="rId74" location="'41.3'!A1" display="Bulletin_Marriages_Divorces_DB_2013.xlsx - '41.3'!A1"/>
    <hyperlink ref="D90" r:id="rId75" location="'42-1'!A1" display="Bulletin_Marriages_Divorces_DB_2013.xlsx - '42-1'!A1"/>
    <hyperlink ref="D91" r:id="rId76" location="'42-2'!A1" display="Bulletin_Marriages_Divorces_DB_2013.xlsx - '42-2'!A1"/>
    <hyperlink ref="D92" r:id="rId77" location="'42-3'!A1" display="Bulletin_Marriages_Divorces_DB_2013.xlsx - '42-3'!A1"/>
    <hyperlink ref="D93" r:id="rId78" location="'43-1'!A1" display="Bulletin_Marriages_Divorces_DB_2013.xlsx - '43-1'!A1"/>
    <hyperlink ref="D94" r:id="rId79" location="'43-2'!A1" display="Bulletin_Marriages_Divorces_DB_2013.xlsx - '43-2'!A1"/>
    <hyperlink ref="D95" r:id="rId80" location="'43-3'!A1" display="Bulletin_Marriages_Divorces_DB_2013.xlsx - '43-3'!A1"/>
    <hyperlink ref="D96" r:id="rId81" location="'44'!A1" display="Bulletin_Marriages_Divorces_DB_2013.xlsx - '44'!A1"/>
    <hyperlink ref="D97" r:id="rId82" location="'45'!A1" display="Bulletin_Marriages_Divorces_DB_2013.xlsx - '45'!A1"/>
    <hyperlink ref="D101" r:id="rId83" location="Cont.!A1" display="Bulletin_Marriages_Divorces_DB_2013.xlsx - Cont.!A1"/>
    <hyperlink ref="D102" r:id="rId84" location="Cont.!A1" display="Bulletin_Marriages_Divorces_DB_2013.xlsx - Cont.!A1"/>
    <hyperlink ref="B15" location="'6 '!A1" display="6"/>
    <hyperlink ref="B10" location="'1'!A1" display="'1'!A1"/>
    <hyperlink ref="B48" location="'22'!A1" display="22"/>
    <hyperlink ref="D33" r:id="rId85" location="'15-2'!A1" display="Bulletin_Marriages_Divorces_DB_2013.xlsx - '15-2'!A1"/>
    <hyperlink ref="A33:D33" location="'15-2'!A1" display="عقود الزواج الأول للزوج والزوجة حسب العمر(غير قطريين) (2010)"/>
  </hyperlinks>
  <printOptions horizontalCentered="1"/>
  <pageMargins left="0" right="0" top="0.78740157480314965" bottom="0.39370078740157483" header="0.51181102362204722" footer="0.51181102362204722"/>
  <pageSetup paperSize="9" scale="92" orientation="portrait" r:id="rId86"/>
  <headerFooter alignWithMargins="0"/>
  <rowBreaks count="3" manualBreakCount="3">
    <brk id="30" max="3" man="1"/>
    <brk id="55" max="3" man="1"/>
    <brk id="82"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20"/>
  <sheetViews>
    <sheetView rightToLeft="1" view="pageBreakPreview" zoomScaleNormal="100" zoomScaleSheetLayoutView="100" workbookViewId="0">
      <selection activeCell="E21" sqref="E21"/>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8" ht="21.75" customHeight="1">
      <c r="A1" s="1041" t="s">
        <v>578</v>
      </c>
      <c r="B1" s="1041"/>
      <c r="C1" s="1142"/>
      <c r="D1" s="1041"/>
      <c r="E1" s="1041"/>
      <c r="F1" s="1041"/>
    </row>
    <row r="2" spans="1:8" ht="15.75">
      <c r="A2" s="1068" t="s">
        <v>577</v>
      </c>
      <c r="B2" s="1068"/>
      <c r="C2" s="1068"/>
      <c r="D2" s="1068"/>
      <c r="E2" s="1068"/>
      <c r="F2" s="1068"/>
    </row>
    <row r="3" spans="1:8" ht="18" customHeight="1">
      <c r="A3" s="1069">
        <v>2021</v>
      </c>
      <c r="B3" s="1069"/>
      <c r="C3" s="1069"/>
      <c r="D3" s="1069"/>
      <c r="E3" s="1069"/>
      <c r="F3" s="1069"/>
      <c r="G3" s="54"/>
      <c r="H3" s="54"/>
    </row>
    <row r="4" spans="1:8" ht="15.75">
      <c r="A4" s="1069" t="s">
        <v>51</v>
      </c>
      <c r="B4" s="1069"/>
      <c r="C4" s="1069"/>
      <c r="D4" s="1069"/>
      <c r="E4" s="1069"/>
      <c r="F4" s="1069"/>
    </row>
    <row r="5" spans="1:8" ht="15.75">
      <c r="A5" s="362"/>
      <c r="B5" s="362"/>
      <c r="C5" s="362"/>
      <c r="D5" s="362"/>
      <c r="E5" s="362"/>
      <c r="F5" s="362"/>
    </row>
    <row r="6" spans="1:8" s="29" customFormat="1" ht="15.75">
      <c r="A6" s="374" t="s">
        <v>209</v>
      </c>
      <c r="B6" s="375"/>
      <c r="C6" s="375"/>
      <c r="D6" s="375"/>
      <c r="E6" s="375"/>
      <c r="F6" s="376" t="s">
        <v>208</v>
      </c>
    </row>
    <row r="7" spans="1:8" ht="45" customHeight="1">
      <c r="A7" s="160" t="s">
        <v>178</v>
      </c>
      <c r="B7" s="160" t="s">
        <v>605</v>
      </c>
      <c r="C7" s="160" t="s">
        <v>606</v>
      </c>
      <c r="D7" s="160" t="s">
        <v>115</v>
      </c>
      <c r="E7" s="160" t="s">
        <v>177</v>
      </c>
      <c r="F7" s="533" t="s">
        <v>176</v>
      </c>
    </row>
    <row r="8" spans="1:8" ht="20.25" customHeight="1" thickBot="1">
      <c r="A8" s="792" t="s">
        <v>1094</v>
      </c>
      <c r="B8" s="342">
        <v>10</v>
      </c>
      <c r="C8" s="342">
        <v>134</v>
      </c>
      <c r="D8" s="343">
        <v>144</v>
      </c>
      <c r="E8" s="347">
        <v>4.2565770026603609</v>
      </c>
      <c r="F8" s="564" t="s">
        <v>1094</v>
      </c>
    </row>
    <row r="9" spans="1:8" ht="20.25" customHeight="1" thickBot="1">
      <c r="A9" s="793" t="s">
        <v>5</v>
      </c>
      <c r="B9" s="344">
        <v>209</v>
      </c>
      <c r="C9" s="344">
        <v>541</v>
      </c>
      <c r="D9" s="343">
        <v>750</v>
      </c>
      <c r="E9" s="348">
        <v>22.169671888856044</v>
      </c>
      <c r="F9" s="565" t="s">
        <v>5</v>
      </c>
    </row>
    <row r="10" spans="1:8" ht="20.25" customHeight="1" thickBot="1">
      <c r="A10" s="793" t="s">
        <v>126</v>
      </c>
      <c r="B10" s="344">
        <v>599</v>
      </c>
      <c r="C10" s="344">
        <v>610</v>
      </c>
      <c r="D10" s="343">
        <v>1209</v>
      </c>
      <c r="E10" s="348">
        <v>35.737511084835944</v>
      </c>
      <c r="F10" s="565" t="s">
        <v>126</v>
      </c>
    </row>
    <row r="11" spans="1:8" ht="20.25" customHeight="1" thickBot="1">
      <c r="A11" s="793" t="s">
        <v>125</v>
      </c>
      <c r="B11" s="344">
        <v>477</v>
      </c>
      <c r="C11" s="344">
        <v>330</v>
      </c>
      <c r="D11" s="343">
        <v>807</v>
      </c>
      <c r="E11" s="348">
        <v>23.854566952409105</v>
      </c>
      <c r="F11" s="565" t="s">
        <v>125</v>
      </c>
    </row>
    <row r="12" spans="1:8" ht="20.25" customHeight="1" thickBot="1">
      <c r="A12" s="793" t="s">
        <v>124</v>
      </c>
      <c r="B12" s="344">
        <v>152</v>
      </c>
      <c r="C12" s="344">
        <v>166</v>
      </c>
      <c r="D12" s="343">
        <v>318</v>
      </c>
      <c r="E12" s="348">
        <v>9.3999408808749632</v>
      </c>
      <c r="F12" s="565" t="s">
        <v>124</v>
      </c>
    </row>
    <row r="13" spans="1:8" ht="20.25" customHeight="1" thickBot="1">
      <c r="A13" s="793" t="s">
        <v>123</v>
      </c>
      <c r="B13" s="344">
        <v>54</v>
      </c>
      <c r="C13" s="344">
        <v>48</v>
      </c>
      <c r="D13" s="343">
        <v>102</v>
      </c>
      <c r="E13" s="348">
        <v>3.0150753768844223</v>
      </c>
      <c r="F13" s="565" t="s">
        <v>123</v>
      </c>
    </row>
    <row r="14" spans="1:8" ht="20.25" customHeight="1" thickBot="1">
      <c r="A14" s="793" t="s">
        <v>122</v>
      </c>
      <c r="B14" s="344">
        <v>17</v>
      </c>
      <c r="C14" s="344">
        <v>16</v>
      </c>
      <c r="D14" s="343">
        <v>33</v>
      </c>
      <c r="E14" s="348">
        <v>0.97546556310966592</v>
      </c>
      <c r="F14" s="565" t="s">
        <v>122</v>
      </c>
    </row>
    <row r="15" spans="1:8" ht="20.25" customHeight="1" thickBot="1">
      <c r="A15" s="793" t="s">
        <v>121</v>
      </c>
      <c r="B15" s="344">
        <v>10</v>
      </c>
      <c r="C15" s="344">
        <v>5</v>
      </c>
      <c r="D15" s="343">
        <v>15</v>
      </c>
      <c r="E15" s="348">
        <v>0.44339343777712092</v>
      </c>
      <c r="F15" s="565" t="s">
        <v>121</v>
      </c>
    </row>
    <row r="16" spans="1:8" ht="20.25" customHeight="1" thickBot="1">
      <c r="A16" s="793" t="s">
        <v>175</v>
      </c>
      <c r="B16" s="344">
        <v>3</v>
      </c>
      <c r="C16" s="344">
        <v>1</v>
      </c>
      <c r="D16" s="343">
        <v>4</v>
      </c>
      <c r="E16" s="348">
        <v>0.1182382500738989</v>
      </c>
      <c r="F16" s="565" t="s">
        <v>175</v>
      </c>
    </row>
    <row r="17" spans="1:6" ht="20.25" customHeight="1">
      <c r="A17" s="794" t="s">
        <v>14</v>
      </c>
      <c r="B17" s="345">
        <v>1</v>
      </c>
      <c r="C17" s="345">
        <v>0</v>
      </c>
      <c r="D17" s="441">
        <v>1</v>
      </c>
      <c r="E17" s="355">
        <v>2.9559562518474726E-2</v>
      </c>
      <c r="F17" s="566" t="s">
        <v>15</v>
      </c>
    </row>
    <row r="18" spans="1:6" ht="20.25" customHeight="1">
      <c r="A18" s="989" t="s">
        <v>16</v>
      </c>
      <c r="B18" s="990">
        <f>SUBTOTAL(109,Table_Default__XLS_TAB_15_2[HUSBD_CNT])</f>
        <v>1532</v>
      </c>
      <c r="C18" s="990">
        <f>SUBTOTAL(109,Table_Default__XLS_TAB_15_2[WIFE_CNT])</f>
        <v>1851</v>
      </c>
      <c r="D18" s="990">
        <f>SUBTOTAL(109,Table_Default__XLS_TAB_15_2[TOTAL])</f>
        <v>3383</v>
      </c>
      <c r="E18" s="991">
        <f>SUBTOTAL(109,Table_Default__XLS_TAB_15_2[PSTG])</f>
        <v>100</v>
      </c>
      <c r="F18" s="992" t="s">
        <v>55</v>
      </c>
    </row>
    <row r="19" spans="1:6" ht="20.25" customHeight="1">
      <c r="A19" s="501"/>
      <c r="B19" s="502"/>
      <c r="C19" s="502"/>
      <c r="D19" s="502"/>
      <c r="E19" s="503"/>
      <c r="F19" s="504"/>
    </row>
    <row r="20" spans="1:6" s="320" customFormat="1"/>
  </sheetData>
  <mergeCells count="4">
    <mergeCell ref="A1:F1"/>
    <mergeCell ref="A2:F2"/>
    <mergeCell ref="A3:F3"/>
    <mergeCell ref="A4:F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J20"/>
  <sheetViews>
    <sheetView rightToLeft="1" view="pageBreakPreview" zoomScaleNormal="100" zoomScaleSheetLayoutView="100" workbookViewId="0">
      <selection activeCell="D21" sqref="D21"/>
    </sheetView>
  </sheetViews>
  <sheetFormatPr defaultColWidth="9.140625" defaultRowHeight="12.75"/>
  <cols>
    <col min="1" max="1" width="27.5703125" style="2" customWidth="1"/>
    <col min="2" max="5" width="19.7109375" style="2" customWidth="1"/>
    <col min="6" max="6" width="26.140625" style="2" customWidth="1"/>
    <col min="7" max="16384" width="9.140625" style="2"/>
  </cols>
  <sheetData>
    <row r="1" spans="1:10" ht="21.75" customHeight="1">
      <c r="A1" s="1041" t="s">
        <v>578</v>
      </c>
      <c r="B1" s="1041"/>
      <c r="C1" s="1142"/>
      <c r="D1" s="1041"/>
      <c r="E1" s="1041"/>
      <c r="F1" s="1041"/>
    </row>
    <row r="2" spans="1:10" ht="15.75">
      <c r="A2" s="1068" t="s">
        <v>577</v>
      </c>
      <c r="B2" s="1068"/>
      <c r="C2" s="1068"/>
      <c r="D2" s="1068"/>
      <c r="E2" s="1068"/>
      <c r="F2" s="1068"/>
    </row>
    <row r="3" spans="1:10" ht="18" customHeight="1">
      <c r="A3" s="1069">
        <v>2021</v>
      </c>
      <c r="B3" s="1069"/>
      <c r="C3" s="1069"/>
      <c r="D3" s="1069"/>
      <c r="E3" s="1069"/>
      <c r="F3" s="1069"/>
      <c r="G3" s="54"/>
      <c r="H3" s="54"/>
      <c r="I3" s="54"/>
      <c r="J3" s="54"/>
    </row>
    <row r="4" spans="1:10" ht="15.75">
      <c r="A4" s="1069" t="s">
        <v>1</v>
      </c>
      <c r="B4" s="1069"/>
      <c r="C4" s="1069"/>
      <c r="D4" s="1069"/>
      <c r="E4" s="1069"/>
      <c r="F4" s="1069"/>
    </row>
    <row r="5" spans="1:10" ht="15.75">
      <c r="A5" s="362"/>
      <c r="B5" s="362"/>
      <c r="C5" s="362"/>
      <c r="D5" s="362"/>
      <c r="E5" s="362"/>
      <c r="F5" s="362"/>
    </row>
    <row r="6" spans="1:10" s="29" customFormat="1" ht="15.75">
      <c r="A6" s="374" t="s">
        <v>220</v>
      </c>
      <c r="B6" s="375"/>
      <c r="C6" s="375"/>
      <c r="D6" s="375"/>
      <c r="E6" s="375"/>
      <c r="F6" s="376" t="s">
        <v>219</v>
      </c>
    </row>
    <row r="7" spans="1:10" ht="45" customHeight="1">
      <c r="A7" s="160" t="s">
        <v>178</v>
      </c>
      <c r="B7" s="160" t="s">
        <v>605</v>
      </c>
      <c r="C7" s="160" t="s">
        <v>606</v>
      </c>
      <c r="D7" s="160" t="s">
        <v>115</v>
      </c>
      <c r="E7" s="160" t="s">
        <v>177</v>
      </c>
      <c r="F7" s="533" t="s">
        <v>176</v>
      </c>
    </row>
    <row r="8" spans="1:10" ht="20.25" customHeight="1" thickBot="1">
      <c r="A8" s="792" t="s">
        <v>1094</v>
      </c>
      <c r="B8" s="342">
        <v>37</v>
      </c>
      <c r="C8" s="342">
        <v>332</v>
      </c>
      <c r="D8" s="343">
        <v>369</v>
      </c>
      <c r="E8" s="347">
        <v>5.2266288951841355</v>
      </c>
      <c r="F8" s="564" t="s">
        <v>1094</v>
      </c>
      <c r="H8" s="320"/>
      <c r="I8" s="318"/>
      <c r="J8" s="318"/>
    </row>
    <row r="9" spans="1:10" ht="20.25" customHeight="1" thickBot="1">
      <c r="A9" s="793" t="s">
        <v>5</v>
      </c>
      <c r="B9" s="344">
        <v>708</v>
      </c>
      <c r="C9" s="344">
        <v>1440</v>
      </c>
      <c r="D9" s="343">
        <v>2148</v>
      </c>
      <c r="E9" s="348">
        <v>30.424929178470254</v>
      </c>
      <c r="F9" s="565" t="s">
        <v>5</v>
      </c>
      <c r="H9" s="320"/>
      <c r="I9" s="318"/>
      <c r="J9" s="318"/>
    </row>
    <row r="10" spans="1:10" ht="20.25" customHeight="1" thickBot="1">
      <c r="A10" s="793" t="s">
        <v>126</v>
      </c>
      <c r="B10" s="344">
        <v>1467</v>
      </c>
      <c r="C10" s="344">
        <v>1147</v>
      </c>
      <c r="D10" s="343">
        <v>2614</v>
      </c>
      <c r="E10" s="348">
        <v>37.025495750708217</v>
      </c>
      <c r="F10" s="565" t="s">
        <v>126</v>
      </c>
      <c r="H10" s="320"/>
      <c r="I10" s="505"/>
      <c r="J10" s="505"/>
    </row>
    <row r="11" spans="1:10" ht="20.25" customHeight="1" thickBot="1">
      <c r="A11" s="793" t="s">
        <v>125</v>
      </c>
      <c r="B11" s="344">
        <v>760</v>
      </c>
      <c r="C11" s="344">
        <v>476</v>
      </c>
      <c r="D11" s="343">
        <v>1236</v>
      </c>
      <c r="E11" s="348">
        <v>17.507082152974505</v>
      </c>
      <c r="F11" s="565" t="s">
        <v>125</v>
      </c>
      <c r="H11" s="320"/>
      <c r="I11" s="506"/>
      <c r="J11" s="506"/>
    </row>
    <row r="12" spans="1:10" ht="20.25" customHeight="1" thickBot="1">
      <c r="A12" s="793" t="s">
        <v>124</v>
      </c>
      <c r="B12" s="344">
        <v>215</v>
      </c>
      <c r="C12" s="344">
        <v>229</v>
      </c>
      <c r="D12" s="343">
        <v>444</v>
      </c>
      <c r="E12" s="348">
        <v>6.2889518413597738</v>
      </c>
      <c r="F12" s="565" t="s">
        <v>124</v>
      </c>
      <c r="H12" s="320"/>
      <c r="I12" s="505"/>
      <c r="J12" s="505"/>
    </row>
    <row r="13" spans="1:10" ht="20.25" customHeight="1" thickBot="1">
      <c r="A13" s="793" t="s">
        <v>123</v>
      </c>
      <c r="B13" s="344">
        <v>86</v>
      </c>
      <c r="C13" s="344">
        <v>70</v>
      </c>
      <c r="D13" s="343">
        <v>156</v>
      </c>
      <c r="E13" s="348">
        <v>2.2096317280453257</v>
      </c>
      <c r="F13" s="565" t="s">
        <v>123</v>
      </c>
      <c r="H13" s="320"/>
      <c r="I13" s="506"/>
      <c r="J13" s="506"/>
    </row>
    <row r="14" spans="1:10" ht="20.25" customHeight="1" thickBot="1">
      <c r="A14" s="793" t="s">
        <v>122</v>
      </c>
      <c r="B14" s="344">
        <v>30</v>
      </c>
      <c r="C14" s="344">
        <v>22</v>
      </c>
      <c r="D14" s="343">
        <v>52</v>
      </c>
      <c r="E14" s="348">
        <v>0.73654390934844194</v>
      </c>
      <c r="F14" s="565" t="s">
        <v>122</v>
      </c>
      <c r="H14" s="320"/>
      <c r="I14" s="505"/>
      <c r="J14" s="505"/>
    </row>
    <row r="15" spans="1:10" ht="20.25" customHeight="1" thickBot="1">
      <c r="A15" s="793" t="s">
        <v>121</v>
      </c>
      <c r="B15" s="344">
        <v>16</v>
      </c>
      <c r="C15" s="344">
        <v>9</v>
      </c>
      <c r="D15" s="343">
        <v>25</v>
      </c>
      <c r="E15" s="348">
        <v>0.35410764872521244</v>
      </c>
      <c r="F15" s="565" t="s">
        <v>121</v>
      </c>
      <c r="H15" s="320"/>
      <c r="I15" s="506"/>
      <c r="J15" s="506"/>
    </row>
    <row r="16" spans="1:10" ht="20.25" customHeight="1" thickBot="1">
      <c r="A16" s="793" t="s">
        <v>175</v>
      </c>
      <c r="B16" s="344">
        <v>13</v>
      </c>
      <c r="C16" s="344">
        <v>1</v>
      </c>
      <c r="D16" s="343">
        <v>14</v>
      </c>
      <c r="E16" s="348">
        <v>0.19830028328611898</v>
      </c>
      <c r="F16" s="565" t="s">
        <v>175</v>
      </c>
      <c r="H16" s="320"/>
      <c r="I16" s="505"/>
      <c r="J16" s="505"/>
    </row>
    <row r="17" spans="1:10" ht="20.25" customHeight="1">
      <c r="A17" s="794" t="s">
        <v>14</v>
      </c>
      <c r="B17" s="345">
        <v>2</v>
      </c>
      <c r="C17" s="345">
        <v>0</v>
      </c>
      <c r="D17" s="441">
        <v>2</v>
      </c>
      <c r="E17" s="355">
        <v>2.8328611898016998E-2</v>
      </c>
      <c r="F17" s="566" t="s">
        <v>15</v>
      </c>
      <c r="H17" s="320"/>
      <c r="I17" s="320"/>
      <c r="J17" s="320"/>
    </row>
    <row r="18" spans="1:10" ht="20.25" customHeight="1">
      <c r="A18" s="989" t="s">
        <v>16</v>
      </c>
      <c r="B18" s="990">
        <f>SUBTOTAL(109,Table_Default__XLS_TAB_15_3[HUSBD_CNT])</f>
        <v>3334</v>
      </c>
      <c r="C18" s="990">
        <f>SUBTOTAL(109,Table_Default__XLS_TAB_15_3[WIFE_CNT])</f>
        <v>3726</v>
      </c>
      <c r="D18" s="990">
        <f>SUBTOTAL(109,Table_Default__XLS_TAB_15_3[TOTAL])</f>
        <v>7060</v>
      </c>
      <c r="E18" s="991">
        <f>SUBTOTAL(109,Table_Default__XLS_TAB_15_3[PSTG])</f>
        <v>100.00000000000001</v>
      </c>
      <c r="F18" s="992" t="s">
        <v>55</v>
      </c>
    </row>
    <row r="19" spans="1:10" ht="20.25" customHeight="1">
      <c r="A19" s="501"/>
      <c r="B19" s="502"/>
      <c r="C19" s="502"/>
      <c r="D19" s="502"/>
      <c r="E19" s="503"/>
      <c r="F19" s="504"/>
    </row>
    <row r="20" spans="1:10">
      <c r="A20" s="320"/>
      <c r="B20" s="320"/>
      <c r="C20" s="320"/>
      <c r="D20" s="320"/>
      <c r="E20" s="320"/>
      <c r="F20" s="320"/>
    </row>
  </sheetData>
  <mergeCells count="4">
    <mergeCell ref="A1:F1"/>
    <mergeCell ref="A2:F2"/>
    <mergeCell ref="A3:F3"/>
    <mergeCell ref="A4:F4"/>
  </mergeCells>
  <printOptions horizontalCentered="1" verticalCentered="1"/>
  <pageMargins left="0" right="0" top="0" bottom="0" header="0" footer="0"/>
  <pageSetup paperSize="9" scale="99" orientation="landscape" r:id="rId1"/>
  <headerFooter alignWithMargins="0"/>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L18"/>
  <sheetViews>
    <sheetView rightToLeft="1" view="pageBreakPreview" zoomScaleNormal="75" zoomScaleSheetLayoutView="100" workbookViewId="0">
      <selection activeCell="J18" sqref="J18"/>
    </sheetView>
  </sheetViews>
  <sheetFormatPr defaultColWidth="9.140625" defaultRowHeight="12.75"/>
  <cols>
    <col min="1" max="1" width="16" style="2" customWidth="1"/>
    <col min="2" max="4" width="10.42578125" style="2" customWidth="1"/>
    <col min="5" max="5" width="11" style="2" customWidth="1"/>
    <col min="6" max="9" width="10.42578125" style="2" customWidth="1"/>
    <col min="10" max="10" width="8.28515625" style="2" customWidth="1"/>
    <col min="11" max="11" width="11" style="2" customWidth="1"/>
    <col min="12" max="12" width="19.42578125" style="2" customWidth="1"/>
    <col min="13" max="16384" width="9.140625" style="2"/>
  </cols>
  <sheetData>
    <row r="1" spans="1:12" ht="24" customHeight="1">
      <c r="A1" s="1041" t="s">
        <v>207</v>
      </c>
      <c r="B1" s="1041"/>
      <c r="C1" s="1041"/>
      <c r="D1" s="1041"/>
      <c r="E1" s="1041"/>
      <c r="F1" s="1041"/>
      <c r="G1" s="1041"/>
      <c r="H1" s="1041"/>
      <c r="I1" s="1041"/>
      <c r="J1" s="1041"/>
      <c r="K1" s="1041"/>
      <c r="L1" s="1041"/>
    </row>
    <row r="2" spans="1:12" s="3" customFormat="1" ht="18">
      <c r="A2" s="1068" t="s">
        <v>206</v>
      </c>
      <c r="B2" s="1068"/>
      <c r="C2" s="1068"/>
      <c r="D2" s="1068"/>
      <c r="E2" s="1068"/>
      <c r="F2" s="1068"/>
      <c r="G2" s="1068"/>
      <c r="H2" s="1068"/>
      <c r="I2" s="1068"/>
      <c r="J2" s="1068"/>
      <c r="K2" s="1068"/>
      <c r="L2" s="1068"/>
    </row>
    <row r="3" spans="1:12" ht="15.75">
      <c r="A3" s="1069">
        <v>2021</v>
      </c>
      <c r="B3" s="1069"/>
      <c r="C3" s="1069"/>
      <c r="D3" s="1069"/>
      <c r="E3" s="1069"/>
      <c r="F3" s="1069"/>
      <c r="G3" s="1069"/>
      <c r="H3" s="1069"/>
      <c r="I3" s="1069"/>
      <c r="J3" s="1069"/>
      <c r="K3" s="1069"/>
      <c r="L3" s="1069"/>
    </row>
    <row r="4" spans="1:12" ht="15.75">
      <c r="A4" s="1069" t="s">
        <v>52</v>
      </c>
      <c r="B4" s="1069"/>
      <c r="C4" s="1069"/>
      <c r="D4" s="1069"/>
      <c r="E4" s="1069"/>
      <c r="F4" s="1069"/>
      <c r="G4" s="1069"/>
      <c r="H4" s="1069"/>
      <c r="I4" s="1069"/>
      <c r="J4" s="1069"/>
      <c r="K4" s="1069"/>
      <c r="L4" s="1069"/>
    </row>
    <row r="5" spans="1:12" ht="15.75">
      <c r="A5" s="362"/>
      <c r="B5" s="362"/>
      <c r="C5" s="362"/>
      <c r="D5" s="362"/>
      <c r="E5" s="362"/>
      <c r="F5" s="362"/>
      <c r="G5" s="362"/>
      <c r="H5" s="362"/>
      <c r="I5" s="362"/>
      <c r="J5" s="362"/>
      <c r="K5" s="362"/>
      <c r="L5" s="362"/>
    </row>
    <row r="6" spans="1:12" s="29" customFormat="1" ht="15.75">
      <c r="A6" s="374" t="s">
        <v>240</v>
      </c>
      <c r="B6" s="375"/>
      <c r="C6" s="375"/>
      <c r="D6" s="375"/>
      <c r="E6" s="375"/>
      <c r="F6" s="375"/>
      <c r="G6" s="375"/>
      <c r="H6" s="375"/>
      <c r="I6" s="375"/>
      <c r="J6" s="375"/>
      <c r="K6" s="375"/>
      <c r="L6" s="376" t="s">
        <v>239</v>
      </c>
    </row>
    <row r="7" spans="1:12" ht="30.75" customHeight="1" thickBot="1">
      <c r="A7" s="1131" t="s">
        <v>203</v>
      </c>
      <c r="B7" s="1145" t="s">
        <v>202</v>
      </c>
      <c r="C7" s="1145"/>
      <c r="D7" s="1145"/>
      <c r="E7" s="1145"/>
      <c r="F7" s="1145"/>
      <c r="G7" s="1145"/>
      <c r="H7" s="1145"/>
      <c r="I7" s="1145"/>
      <c r="J7" s="1145"/>
      <c r="K7" s="1146" t="s">
        <v>608</v>
      </c>
      <c r="L7" s="1138" t="s">
        <v>201</v>
      </c>
    </row>
    <row r="8" spans="1:12" ht="60.75" customHeight="1">
      <c r="A8" s="1140"/>
      <c r="B8" s="160" t="s">
        <v>615</v>
      </c>
      <c r="C8" s="160" t="s">
        <v>649</v>
      </c>
      <c r="D8" s="160" t="s">
        <v>614</v>
      </c>
      <c r="E8" s="160" t="s">
        <v>613</v>
      </c>
      <c r="F8" s="160" t="s">
        <v>612</v>
      </c>
      <c r="G8" s="160" t="s">
        <v>611</v>
      </c>
      <c r="H8" s="160" t="s">
        <v>610</v>
      </c>
      <c r="I8" s="160" t="s">
        <v>616</v>
      </c>
      <c r="J8" s="160" t="s">
        <v>609</v>
      </c>
      <c r="K8" s="1147"/>
      <c r="L8" s="1141"/>
    </row>
    <row r="9" spans="1:12" ht="22.5" customHeight="1" thickBot="1">
      <c r="A9" s="795" t="s">
        <v>200</v>
      </c>
      <c r="B9" s="346">
        <v>1</v>
      </c>
      <c r="C9" s="346">
        <v>0</v>
      </c>
      <c r="D9" s="346">
        <v>0</v>
      </c>
      <c r="E9" s="346">
        <v>0</v>
      </c>
      <c r="F9" s="346">
        <v>0</v>
      </c>
      <c r="G9" s="346">
        <v>0</v>
      </c>
      <c r="H9" s="346">
        <v>0</v>
      </c>
      <c r="I9" s="346">
        <v>0</v>
      </c>
      <c r="J9" s="499">
        <v>1</v>
      </c>
      <c r="K9" s="165">
        <f>J9/$J$17%</f>
        <v>4.1169205434335117E-2</v>
      </c>
      <c r="L9" s="162" t="s">
        <v>199</v>
      </c>
    </row>
    <row r="10" spans="1:12" ht="22.5" customHeight="1" thickBot="1">
      <c r="A10" s="796" t="s">
        <v>198</v>
      </c>
      <c r="B10" s="344">
        <v>0</v>
      </c>
      <c r="C10" s="344">
        <v>1</v>
      </c>
      <c r="D10" s="344">
        <v>2</v>
      </c>
      <c r="E10" s="344">
        <v>0</v>
      </c>
      <c r="F10" s="344">
        <v>5</v>
      </c>
      <c r="G10" s="344">
        <v>1</v>
      </c>
      <c r="H10" s="344">
        <v>1</v>
      </c>
      <c r="I10" s="344">
        <v>0</v>
      </c>
      <c r="J10" s="499">
        <v>10</v>
      </c>
      <c r="K10" s="307">
        <f t="shared" ref="K10:K16" si="0">J10/$J$17%</f>
        <v>0.41169205434335121</v>
      </c>
      <c r="L10" s="60" t="s">
        <v>197</v>
      </c>
    </row>
    <row r="11" spans="1:12" ht="22.5" customHeight="1" thickBot="1">
      <c r="A11" s="797" t="s">
        <v>196</v>
      </c>
      <c r="B11" s="344">
        <v>0</v>
      </c>
      <c r="C11" s="344">
        <v>2</v>
      </c>
      <c r="D11" s="344">
        <v>5</v>
      </c>
      <c r="E11" s="344">
        <v>13</v>
      </c>
      <c r="F11" s="344">
        <v>45</v>
      </c>
      <c r="G11" s="344">
        <v>0</v>
      </c>
      <c r="H11" s="344">
        <v>15</v>
      </c>
      <c r="I11" s="344">
        <v>0</v>
      </c>
      <c r="J11" s="499">
        <v>80</v>
      </c>
      <c r="K11" s="165">
        <f t="shared" si="0"/>
        <v>3.2935364347468097</v>
      </c>
      <c r="L11" s="59" t="s">
        <v>195</v>
      </c>
    </row>
    <row r="12" spans="1:12" ht="22.5" customHeight="1" thickBot="1">
      <c r="A12" s="796" t="s">
        <v>194</v>
      </c>
      <c r="B12" s="344">
        <v>0</v>
      </c>
      <c r="C12" s="344">
        <v>0</v>
      </c>
      <c r="D12" s="344">
        <v>10</v>
      </c>
      <c r="E12" s="344">
        <v>33</v>
      </c>
      <c r="F12" s="344">
        <v>122</v>
      </c>
      <c r="G12" s="344">
        <v>2</v>
      </c>
      <c r="H12" s="344">
        <v>54</v>
      </c>
      <c r="I12" s="344">
        <v>1</v>
      </c>
      <c r="J12" s="499">
        <v>222</v>
      </c>
      <c r="K12" s="307">
        <f t="shared" si="0"/>
        <v>9.1395636064223957</v>
      </c>
      <c r="L12" s="60" t="s">
        <v>193</v>
      </c>
    </row>
    <row r="13" spans="1:12" ht="22.5" customHeight="1" thickBot="1">
      <c r="A13" s="797" t="s">
        <v>192</v>
      </c>
      <c r="B13" s="344">
        <v>3</v>
      </c>
      <c r="C13" s="344">
        <v>0</v>
      </c>
      <c r="D13" s="344">
        <v>6</v>
      </c>
      <c r="E13" s="344">
        <v>54</v>
      </c>
      <c r="F13" s="344">
        <v>494</v>
      </c>
      <c r="G13" s="344">
        <v>5</v>
      </c>
      <c r="H13" s="344">
        <v>231</v>
      </c>
      <c r="I13" s="344">
        <v>4</v>
      </c>
      <c r="J13" s="499">
        <v>797</v>
      </c>
      <c r="K13" s="165">
        <f t="shared" si="0"/>
        <v>32.811856731165086</v>
      </c>
      <c r="L13" s="59" t="s">
        <v>191</v>
      </c>
    </row>
    <row r="14" spans="1:12" ht="22.5" customHeight="1" thickBot="1">
      <c r="A14" s="796" t="s">
        <v>549</v>
      </c>
      <c r="B14" s="344">
        <v>0</v>
      </c>
      <c r="C14" s="344">
        <v>0</v>
      </c>
      <c r="D14" s="344">
        <v>0</v>
      </c>
      <c r="E14" s="344">
        <v>10</v>
      </c>
      <c r="F14" s="344">
        <v>60</v>
      </c>
      <c r="G14" s="344">
        <v>2</v>
      </c>
      <c r="H14" s="344">
        <v>40</v>
      </c>
      <c r="I14" s="344">
        <v>0</v>
      </c>
      <c r="J14" s="499">
        <v>112</v>
      </c>
      <c r="K14" s="307">
        <f t="shared" si="0"/>
        <v>4.6109510086455332</v>
      </c>
      <c r="L14" s="387" t="s">
        <v>550</v>
      </c>
    </row>
    <row r="15" spans="1:12" ht="22.5" customHeight="1" thickBot="1">
      <c r="A15" s="797" t="s">
        <v>190</v>
      </c>
      <c r="B15" s="344">
        <v>0</v>
      </c>
      <c r="C15" s="344">
        <v>1</v>
      </c>
      <c r="D15" s="344">
        <v>5</v>
      </c>
      <c r="E15" s="344">
        <v>27</v>
      </c>
      <c r="F15" s="344">
        <v>577</v>
      </c>
      <c r="G15" s="344">
        <v>20</v>
      </c>
      <c r="H15" s="344">
        <v>563</v>
      </c>
      <c r="I15" s="344">
        <v>6</v>
      </c>
      <c r="J15" s="499">
        <v>1199</v>
      </c>
      <c r="K15" s="165">
        <f t="shared" si="0"/>
        <v>49.361877315767806</v>
      </c>
      <c r="L15" s="59" t="s">
        <v>189</v>
      </c>
    </row>
    <row r="16" spans="1:12" ht="22.5" customHeight="1">
      <c r="A16" s="798" t="s">
        <v>14</v>
      </c>
      <c r="B16" s="345">
        <v>0</v>
      </c>
      <c r="C16" s="345">
        <v>0</v>
      </c>
      <c r="D16" s="345">
        <v>0</v>
      </c>
      <c r="E16" s="345">
        <v>0</v>
      </c>
      <c r="F16" s="345">
        <v>6</v>
      </c>
      <c r="G16" s="345">
        <v>0</v>
      </c>
      <c r="H16" s="345">
        <v>2</v>
      </c>
      <c r="I16" s="345">
        <v>0</v>
      </c>
      <c r="J16" s="500">
        <v>8</v>
      </c>
      <c r="K16" s="289">
        <f t="shared" si="0"/>
        <v>0.32935364347468093</v>
      </c>
      <c r="L16" s="58" t="s">
        <v>188</v>
      </c>
    </row>
    <row r="17" spans="1:12" ht="22.5" customHeight="1" thickBot="1">
      <c r="A17" s="266" t="s">
        <v>16</v>
      </c>
      <c r="B17" s="993">
        <f>SUBTOTAL(109,Table_Default__XLS_TAB_16_1[ILLITERATE_CNT])</f>
        <v>4</v>
      </c>
      <c r="C17" s="993">
        <f>SUBTOTAL(109,Table_Default__XLS_TAB_16_1[READ_AND_WRITE_CNT])</f>
        <v>4</v>
      </c>
      <c r="D17" s="993">
        <f>SUBTOTAL(109,Table_Default__XLS_TAB_16_1[PRIMARY_CNT])</f>
        <v>28</v>
      </c>
      <c r="E17" s="993">
        <f>SUBTOTAL(109,Table_Default__XLS_TAB_16_1[PREPARATORY_CNT])</f>
        <v>137</v>
      </c>
      <c r="F17" s="993">
        <f>SUBTOTAL(109,Table_Default__XLS_TAB_16_1[SECONDARY_CNT])</f>
        <v>1309</v>
      </c>
      <c r="G17" s="993">
        <f>SUBTOTAL(109,Table_Default__XLS_TAB_16_1[PRE_UNIVERSITY_CNT])</f>
        <v>30</v>
      </c>
      <c r="H17" s="993">
        <f>SUBTOTAL(109,Table_Default__XLS_TAB_16_1[UNIV_ABOVE_CNT])</f>
        <v>906</v>
      </c>
      <c r="I17" s="993">
        <f>SUBTOTAL(109,Table_Default__XLS_TAB_16_1[NOT_STATED_CNT])</f>
        <v>11</v>
      </c>
      <c r="J17" s="993">
        <f>SUBTOTAL(109,Table_Default__XLS_TAB_16_1[TOTAL])</f>
        <v>2429</v>
      </c>
      <c r="K17" s="434">
        <f>SUM(K9:K16)</f>
        <v>100</v>
      </c>
      <c r="L17" s="164" t="s">
        <v>55</v>
      </c>
    </row>
    <row r="18" spans="1:12" ht="21.75" customHeight="1">
      <c r="A18" s="507" t="s">
        <v>186</v>
      </c>
      <c r="B18" s="508">
        <f>Table_Default__XLS_TAB_16_1[[#Totals],[ILLITERATE_CNT]]/Table_Default__XLS_TAB_16_1[[#Totals],[TOTAL]]%</f>
        <v>0.16467682173734047</v>
      </c>
      <c r="C18" s="508">
        <f>Table_Default__XLS_TAB_16_1[[#Totals],[READ_AND_WRITE_CNT]]/Table_Default__XLS_TAB_16_1[[#Totals],[TOTAL]]%</f>
        <v>0.16467682173734047</v>
      </c>
      <c r="D18" s="508">
        <f>Table_Default__XLS_TAB_16_1[[#Totals],[PRIMARY_CNT]]/Table_Default__XLS_TAB_16_1[[#Totals],[TOTAL]]%</f>
        <v>1.1527377521613833</v>
      </c>
      <c r="E18" s="508">
        <f>Table_Default__XLS_TAB_16_1[[#Totals],[PREPARATORY_CNT]]/Table_Default__XLS_TAB_16_1[[#Totals],[TOTAL]]%</f>
        <v>5.6401811445039112</v>
      </c>
      <c r="F18" s="508">
        <f>Table_Default__XLS_TAB_16_1[[#Totals],[SECONDARY_CNT]]/Table_Default__XLS_TAB_16_1[[#Totals],[TOTAL]]%</f>
        <v>53.89048991354467</v>
      </c>
      <c r="G18" s="508">
        <f>Table_Default__XLS_TAB_16_1[[#Totals],[PRE_UNIVERSITY_CNT]]/Table_Default__XLS_TAB_16_1[[#Totals],[TOTAL]]%</f>
        <v>1.2350761630300535</v>
      </c>
      <c r="H18" s="508">
        <f>Table_Default__XLS_TAB_16_1[[#Totals],[UNIV_ABOVE_CNT]]/Table_Default__XLS_TAB_16_1[[#Totals],[TOTAL]]%</f>
        <v>37.299300123507621</v>
      </c>
      <c r="I18" s="508">
        <f>Table_Default__XLS_TAB_16_1[[#Totals],[NOT_STATED_CNT]]/Table_Default__XLS_TAB_16_1[[#Totals],[TOTAL]]%</f>
        <v>0.45286125977768632</v>
      </c>
      <c r="J18" s="508">
        <f>SUM(B18:I18)</f>
        <v>100.00000000000001</v>
      </c>
      <c r="K18" s="1143" t="s">
        <v>101</v>
      </c>
      <c r="L18" s="1144"/>
    </row>
  </sheetData>
  <mergeCells count="9">
    <mergeCell ref="K18:L18"/>
    <mergeCell ref="A1:L1"/>
    <mergeCell ref="A2:L2"/>
    <mergeCell ref="A3:L3"/>
    <mergeCell ref="A7:A8"/>
    <mergeCell ref="L7:L8"/>
    <mergeCell ref="B7:J7"/>
    <mergeCell ref="K7:K8"/>
    <mergeCell ref="A4:L4"/>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L18"/>
  <sheetViews>
    <sheetView rightToLeft="1" view="pageBreakPreview" topLeftCell="A2" zoomScaleNormal="75" zoomScaleSheetLayoutView="100" workbookViewId="0">
      <selection activeCell="K17" sqref="K17"/>
    </sheetView>
  </sheetViews>
  <sheetFormatPr defaultColWidth="9.140625" defaultRowHeight="12.75"/>
  <cols>
    <col min="1" max="1" width="16" style="2" customWidth="1"/>
    <col min="2" max="4" width="10.42578125" style="2" customWidth="1"/>
    <col min="5" max="5" width="11" style="2" customWidth="1"/>
    <col min="6" max="9" width="10.42578125" style="2" customWidth="1"/>
    <col min="10" max="10" width="8.28515625" style="2" customWidth="1"/>
    <col min="11" max="11" width="11" style="2" customWidth="1"/>
    <col min="12" max="12" width="19.42578125" style="2" customWidth="1"/>
    <col min="13" max="16384" width="9.140625" style="2"/>
  </cols>
  <sheetData>
    <row r="1" spans="1:12" ht="24" customHeight="1">
      <c r="A1" s="1041" t="s">
        <v>207</v>
      </c>
      <c r="B1" s="1041"/>
      <c r="C1" s="1041"/>
      <c r="D1" s="1041"/>
      <c r="E1" s="1041"/>
      <c r="F1" s="1041"/>
      <c r="G1" s="1041"/>
      <c r="H1" s="1041"/>
      <c r="I1" s="1041"/>
      <c r="J1" s="1041"/>
      <c r="K1" s="1041"/>
      <c r="L1" s="1041"/>
    </row>
    <row r="2" spans="1:12" s="3" customFormat="1" ht="18">
      <c r="A2" s="1068" t="s">
        <v>206</v>
      </c>
      <c r="B2" s="1068"/>
      <c r="C2" s="1068"/>
      <c r="D2" s="1068"/>
      <c r="E2" s="1068"/>
      <c r="F2" s="1068"/>
      <c r="G2" s="1068"/>
      <c r="H2" s="1068"/>
      <c r="I2" s="1068"/>
      <c r="J2" s="1068"/>
      <c r="K2" s="1068"/>
      <c r="L2" s="1068"/>
    </row>
    <row r="3" spans="1:12" ht="15.75">
      <c r="A3" s="1069">
        <v>2021</v>
      </c>
      <c r="B3" s="1069"/>
      <c r="C3" s="1069"/>
      <c r="D3" s="1069"/>
      <c r="E3" s="1069"/>
      <c r="F3" s="1069"/>
      <c r="G3" s="1069"/>
      <c r="H3" s="1069"/>
      <c r="I3" s="1069"/>
      <c r="J3" s="1069"/>
      <c r="K3" s="1069"/>
      <c r="L3" s="1069"/>
    </row>
    <row r="4" spans="1:12" ht="15.75">
      <c r="A4" s="1069" t="s">
        <v>51</v>
      </c>
      <c r="B4" s="1069"/>
      <c r="C4" s="1069"/>
      <c r="D4" s="1069"/>
      <c r="E4" s="1069"/>
      <c r="F4" s="1069"/>
      <c r="G4" s="1069"/>
      <c r="H4" s="1069"/>
      <c r="I4" s="1069"/>
      <c r="J4" s="1069"/>
      <c r="K4" s="1069"/>
      <c r="L4" s="1069"/>
    </row>
    <row r="5" spans="1:12" ht="15.75">
      <c r="A5" s="362"/>
      <c r="B5" s="362"/>
      <c r="C5" s="362"/>
      <c r="D5" s="362"/>
      <c r="E5" s="362"/>
      <c r="F5" s="362"/>
      <c r="G5" s="362"/>
      <c r="H5" s="362"/>
      <c r="I5" s="362"/>
      <c r="J5" s="362"/>
      <c r="K5" s="362"/>
      <c r="L5" s="362"/>
    </row>
    <row r="6" spans="1:12" s="29" customFormat="1" ht="15.75">
      <c r="A6" s="374" t="s">
        <v>244</v>
      </c>
      <c r="B6" s="375"/>
      <c r="C6" s="375"/>
      <c r="D6" s="375"/>
      <c r="E6" s="375"/>
      <c r="F6" s="375"/>
      <c r="G6" s="375"/>
      <c r="H6" s="375"/>
      <c r="I6" s="375"/>
      <c r="J6" s="375"/>
      <c r="K6" s="375"/>
      <c r="L6" s="376" t="s">
        <v>243</v>
      </c>
    </row>
    <row r="7" spans="1:12" ht="30.75" customHeight="1" thickBot="1">
      <c r="A7" s="1131" t="s">
        <v>203</v>
      </c>
      <c r="B7" s="1145" t="s">
        <v>202</v>
      </c>
      <c r="C7" s="1145"/>
      <c r="D7" s="1145"/>
      <c r="E7" s="1145"/>
      <c r="F7" s="1145"/>
      <c r="G7" s="1145"/>
      <c r="H7" s="1145"/>
      <c r="I7" s="1145"/>
      <c r="J7" s="1145"/>
      <c r="K7" s="1146" t="s">
        <v>608</v>
      </c>
      <c r="L7" s="1138" t="s">
        <v>201</v>
      </c>
    </row>
    <row r="8" spans="1:12" ht="60.75" customHeight="1">
      <c r="A8" s="1140"/>
      <c r="B8" s="160" t="s">
        <v>615</v>
      </c>
      <c r="C8" s="328" t="s">
        <v>721</v>
      </c>
      <c r="D8" s="160" t="s">
        <v>614</v>
      </c>
      <c r="E8" s="160" t="s">
        <v>613</v>
      </c>
      <c r="F8" s="160" t="s">
        <v>612</v>
      </c>
      <c r="G8" s="160" t="s">
        <v>611</v>
      </c>
      <c r="H8" s="160" t="s">
        <v>610</v>
      </c>
      <c r="I8" s="160" t="s">
        <v>616</v>
      </c>
      <c r="J8" s="160" t="s">
        <v>609</v>
      </c>
      <c r="K8" s="1147"/>
      <c r="L8" s="1141"/>
    </row>
    <row r="9" spans="1:12" ht="22.5" customHeight="1" thickBot="1">
      <c r="A9" s="795" t="s">
        <v>200</v>
      </c>
      <c r="B9" s="349">
        <v>0</v>
      </c>
      <c r="C9" s="342">
        <v>0</v>
      </c>
      <c r="D9" s="342">
        <v>1</v>
      </c>
      <c r="E9" s="342">
        <v>0</v>
      </c>
      <c r="F9" s="342">
        <v>2</v>
      </c>
      <c r="G9" s="342">
        <v>0</v>
      </c>
      <c r="H9" s="342">
        <v>0</v>
      </c>
      <c r="I9" s="342">
        <v>0</v>
      </c>
      <c r="J9" s="509">
        <v>3</v>
      </c>
      <c r="K9" s="165">
        <f>J9/$J$17%</f>
        <v>0.15298317185109639</v>
      </c>
      <c r="L9" s="162" t="s">
        <v>199</v>
      </c>
    </row>
    <row r="10" spans="1:12" ht="22.5" customHeight="1" thickBot="1">
      <c r="A10" s="796" t="s">
        <v>198</v>
      </c>
      <c r="B10" s="350">
        <v>0</v>
      </c>
      <c r="C10" s="344">
        <v>1</v>
      </c>
      <c r="D10" s="344">
        <v>2</v>
      </c>
      <c r="E10" s="344">
        <v>0</v>
      </c>
      <c r="F10" s="344">
        <v>5</v>
      </c>
      <c r="G10" s="344">
        <v>0</v>
      </c>
      <c r="H10" s="344">
        <v>1</v>
      </c>
      <c r="I10" s="344">
        <v>0</v>
      </c>
      <c r="J10" s="509">
        <v>9</v>
      </c>
      <c r="K10" s="8">
        <f t="shared" ref="K10:K16" si="0">J10/$J$17%</f>
        <v>0.45894951555328917</v>
      </c>
      <c r="L10" s="60" t="s">
        <v>197</v>
      </c>
    </row>
    <row r="11" spans="1:12" ht="22.5" customHeight="1" thickBot="1">
      <c r="A11" s="797" t="s">
        <v>196</v>
      </c>
      <c r="B11" s="350">
        <v>0</v>
      </c>
      <c r="C11" s="344">
        <v>2</v>
      </c>
      <c r="D11" s="344">
        <v>8</v>
      </c>
      <c r="E11" s="344">
        <v>16</v>
      </c>
      <c r="F11" s="344">
        <v>21</v>
      </c>
      <c r="G11" s="344">
        <v>0</v>
      </c>
      <c r="H11" s="344">
        <v>6</v>
      </c>
      <c r="I11" s="344">
        <v>1</v>
      </c>
      <c r="J11" s="509">
        <v>54</v>
      </c>
      <c r="K11" s="9">
        <f t="shared" si="0"/>
        <v>2.7536970933197349</v>
      </c>
      <c r="L11" s="59" t="s">
        <v>195</v>
      </c>
    </row>
    <row r="12" spans="1:12" ht="22.5" customHeight="1" thickBot="1">
      <c r="A12" s="796" t="s">
        <v>194</v>
      </c>
      <c r="B12" s="350">
        <v>1</v>
      </c>
      <c r="C12" s="344">
        <v>6</v>
      </c>
      <c r="D12" s="344">
        <v>14</v>
      </c>
      <c r="E12" s="344">
        <v>39</v>
      </c>
      <c r="F12" s="344">
        <v>69</v>
      </c>
      <c r="G12" s="344">
        <v>3</v>
      </c>
      <c r="H12" s="344">
        <v>27</v>
      </c>
      <c r="I12" s="344">
        <v>3</v>
      </c>
      <c r="J12" s="509">
        <v>162</v>
      </c>
      <c r="K12" s="8">
        <f t="shared" si="0"/>
        <v>8.2610912799592047</v>
      </c>
      <c r="L12" s="60" t="s">
        <v>193</v>
      </c>
    </row>
    <row r="13" spans="1:12" ht="22.5" customHeight="1" thickBot="1">
      <c r="A13" s="797" t="s">
        <v>192</v>
      </c>
      <c r="B13" s="350">
        <v>1</v>
      </c>
      <c r="C13" s="344">
        <v>3</v>
      </c>
      <c r="D13" s="344">
        <v>24</v>
      </c>
      <c r="E13" s="344">
        <v>47</v>
      </c>
      <c r="F13" s="344">
        <v>273</v>
      </c>
      <c r="G13" s="344">
        <v>21</v>
      </c>
      <c r="H13" s="344">
        <v>186</v>
      </c>
      <c r="I13" s="344">
        <v>5</v>
      </c>
      <c r="J13" s="509">
        <v>560</v>
      </c>
      <c r="K13" s="9">
        <f t="shared" si="0"/>
        <v>28.556858745537991</v>
      </c>
      <c r="L13" s="59" t="s">
        <v>191</v>
      </c>
    </row>
    <row r="14" spans="1:12" ht="22.5" customHeight="1" thickBot="1">
      <c r="A14" s="796" t="s">
        <v>549</v>
      </c>
      <c r="B14" s="350">
        <v>0</v>
      </c>
      <c r="C14" s="344">
        <v>0</v>
      </c>
      <c r="D14" s="344">
        <v>1</v>
      </c>
      <c r="E14" s="344">
        <v>0</v>
      </c>
      <c r="F14" s="344">
        <v>27</v>
      </c>
      <c r="G14" s="344">
        <v>8</v>
      </c>
      <c r="H14" s="344">
        <v>35</v>
      </c>
      <c r="I14" s="344">
        <v>1</v>
      </c>
      <c r="J14" s="509">
        <v>72</v>
      </c>
      <c r="K14" s="8">
        <f t="shared" si="0"/>
        <v>3.6715961244263133</v>
      </c>
      <c r="L14" s="387" t="s">
        <v>550</v>
      </c>
    </row>
    <row r="15" spans="1:12" ht="22.5" customHeight="1" thickBot="1">
      <c r="A15" s="797" t="s">
        <v>190</v>
      </c>
      <c r="B15" s="350">
        <v>0</v>
      </c>
      <c r="C15" s="344">
        <v>2</v>
      </c>
      <c r="D15" s="344">
        <v>9</v>
      </c>
      <c r="E15" s="344">
        <v>19</v>
      </c>
      <c r="F15" s="344">
        <v>210</v>
      </c>
      <c r="G15" s="344">
        <v>38</v>
      </c>
      <c r="H15" s="344">
        <v>818</v>
      </c>
      <c r="I15" s="344">
        <v>0</v>
      </c>
      <c r="J15" s="509">
        <v>1096</v>
      </c>
      <c r="K15" s="9">
        <f t="shared" si="0"/>
        <v>55.889852116267214</v>
      </c>
      <c r="L15" s="59" t="s">
        <v>189</v>
      </c>
    </row>
    <row r="16" spans="1:12" ht="22.5" customHeight="1">
      <c r="A16" s="798" t="s">
        <v>14</v>
      </c>
      <c r="B16" s="351">
        <v>0</v>
      </c>
      <c r="C16" s="345">
        <v>0</v>
      </c>
      <c r="D16" s="345">
        <v>0</v>
      </c>
      <c r="E16" s="345">
        <v>3</v>
      </c>
      <c r="F16" s="345">
        <v>1</v>
      </c>
      <c r="G16" s="345">
        <v>0</v>
      </c>
      <c r="H16" s="345">
        <v>1</v>
      </c>
      <c r="I16" s="345">
        <v>0</v>
      </c>
      <c r="J16" s="510">
        <v>5</v>
      </c>
      <c r="K16" s="57">
        <f t="shared" si="0"/>
        <v>0.25497195308516063</v>
      </c>
      <c r="L16" s="58" t="s">
        <v>188</v>
      </c>
    </row>
    <row r="17" spans="1:12" ht="22.5" customHeight="1" thickBot="1">
      <c r="A17" s="266" t="s">
        <v>16</v>
      </c>
      <c r="B17" s="994">
        <f>SUBTOTAL(109,Table_Default__XLS_TAB_16_2[ILLITERATE_CNT])</f>
        <v>2</v>
      </c>
      <c r="C17" s="995">
        <f>SUBTOTAL(109,Table_Default__XLS_TAB_16_2[READ_AND_WRITE_CNT])</f>
        <v>14</v>
      </c>
      <c r="D17" s="995">
        <f>SUBTOTAL(109,Table_Default__XLS_TAB_16_2[PRIMARY_CNT])</f>
        <v>59</v>
      </c>
      <c r="E17" s="995">
        <f>SUBTOTAL(109,Table_Default__XLS_TAB_16_2[PREPARATORY_CNT])</f>
        <v>124</v>
      </c>
      <c r="F17" s="995">
        <f>SUBTOTAL(109,Table_Default__XLS_TAB_16_2[SECONDARY_CNT])</f>
        <v>608</v>
      </c>
      <c r="G17" s="995">
        <f>SUBTOTAL(109,Table_Default__XLS_TAB_16_2[PRE_UNIVERSITY_CNT])</f>
        <v>70</v>
      </c>
      <c r="H17" s="995">
        <f>SUBTOTAL(109,Table_Default__XLS_TAB_16_2[UNIV_ABOVE_CNT])</f>
        <v>1074</v>
      </c>
      <c r="I17" s="995">
        <f>SUBTOTAL(109,Table_Default__XLS_TAB_16_2[NOT_STATED_CNT])</f>
        <v>10</v>
      </c>
      <c r="J17" s="993">
        <f>SUBTOTAL(109,Table_Default__XLS_TAB_16_2[TOTAL])</f>
        <v>1961</v>
      </c>
      <c r="K17" s="434">
        <f>J17/$J$17%</f>
        <v>100</v>
      </c>
      <c r="L17" s="164" t="s">
        <v>55</v>
      </c>
    </row>
    <row r="18" spans="1:12" ht="21.75" customHeight="1">
      <c r="A18" s="507" t="s">
        <v>186</v>
      </c>
      <c r="B18" s="508">
        <f>Table_Default__XLS_TAB_16_2[[#Totals],[ILLITERATE_CNT]]/Table_Default__XLS_TAB_16_2[[#Totals],[TOTAL]]%</f>
        <v>0.10198878123406425</v>
      </c>
      <c r="C18" s="508">
        <f>Table_Default__XLS_TAB_16_2[[#Totals],[READ_AND_WRITE_CNT]]/Table_Default__XLS_TAB_16_2[[#Totals],[TOTAL]]%</f>
        <v>0.71392146863844974</v>
      </c>
      <c r="D18" s="508">
        <f>Table_Default__XLS_TAB_16_2[[#Totals],[PRIMARY_CNT]]/Table_Default__XLS_TAB_16_2[[#Totals],[TOTAL]]%</f>
        <v>3.0086690464048957</v>
      </c>
      <c r="E18" s="508">
        <f>Table_Default__XLS_TAB_16_2[[#Totals],[PREPARATORY_CNT]]/Table_Default__XLS_TAB_16_2[[#Totals],[TOTAL]]%</f>
        <v>6.3233044365119842</v>
      </c>
      <c r="F18" s="508">
        <f>Table_Default__XLS_TAB_16_2[[#Totals],[SECONDARY_CNT]]/Table_Default__XLS_TAB_16_2[[#Totals],[TOTAL]]%</f>
        <v>31.004589495155535</v>
      </c>
      <c r="G18" s="508">
        <f>Table_Default__XLS_TAB_16_2[[#Totals],[PRE_UNIVERSITY_CNT]]/Table_Default__XLS_TAB_16_2[[#Totals],[TOTAL]]%</f>
        <v>3.5696073431922488</v>
      </c>
      <c r="H18" s="508">
        <f>Table_Default__XLS_TAB_16_2[[#Totals],[UNIV_ABOVE_CNT]]/Table_Default__XLS_TAB_16_2[[#Totals],[TOTAL]]%</f>
        <v>54.767975522692502</v>
      </c>
      <c r="I18" s="508">
        <f>Table_Default__XLS_TAB_16_2[[#Totals],[NOT_STATED_CNT]]/Table_Default__XLS_TAB_16_2[[#Totals],[TOTAL]]%</f>
        <v>0.50994390617032126</v>
      </c>
      <c r="J18" s="508">
        <f>SUM(B18:I18)</f>
        <v>100</v>
      </c>
      <c r="K18" s="1148" t="s">
        <v>185</v>
      </c>
      <c r="L18" s="1143"/>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L34"/>
  <sheetViews>
    <sheetView rightToLeft="1" tabSelected="1" view="pageBreakPreview" zoomScaleNormal="75" zoomScaleSheetLayoutView="100" workbookViewId="0">
      <selection activeCell="E12" sqref="E12"/>
    </sheetView>
  </sheetViews>
  <sheetFormatPr defaultColWidth="9.140625" defaultRowHeight="12.75"/>
  <cols>
    <col min="1" max="1" width="16" style="2" customWidth="1"/>
    <col min="2" max="4" width="10.42578125" style="2" customWidth="1"/>
    <col min="5" max="5" width="11" style="2" customWidth="1"/>
    <col min="6" max="9" width="10.42578125" style="2" customWidth="1"/>
    <col min="10" max="10" width="8.28515625" style="2" customWidth="1"/>
    <col min="11" max="11" width="11" style="2" customWidth="1"/>
    <col min="12" max="12" width="19.42578125" style="2" customWidth="1"/>
    <col min="13" max="16384" width="9.140625" style="2"/>
  </cols>
  <sheetData>
    <row r="1" spans="1:12" ht="24" customHeight="1">
      <c r="A1" s="1041" t="s">
        <v>207</v>
      </c>
      <c r="B1" s="1041"/>
      <c r="C1" s="1041"/>
      <c r="D1" s="1041"/>
      <c r="E1" s="1041"/>
      <c r="F1" s="1041"/>
      <c r="G1" s="1041"/>
      <c r="H1" s="1041"/>
      <c r="I1" s="1041"/>
      <c r="J1" s="1041"/>
      <c r="K1" s="1041"/>
      <c r="L1" s="1041"/>
    </row>
    <row r="2" spans="1:12" s="3" customFormat="1" ht="18">
      <c r="A2" s="1068" t="s">
        <v>206</v>
      </c>
      <c r="B2" s="1068"/>
      <c r="C2" s="1068"/>
      <c r="D2" s="1068"/>
      <c r="E2" s="1068"/>
      <c r="F2" s="1068"/>
      <c r="G2" s="1068"/>
      <c r="H2" s="1068"/>
      <c r="I2" s="1068"/>
      <c r="J2" s="1068"/>
      <c r="K2" s="1068"/>
      <c r="L2" s="1068"/>
    </row>
    <row r="3" spans="1:12" ht="15.75">
      <c r="A3" s="1069">
        <v>2021</v>
      </c>
      <c r="B3" s="1069"/>
      <c r="C3" s="1069"/>
      <c r="D3" s="1069"/>
      <c r="E3" s="1069"/>
      <c r="F3" s="1069"/>
      <c r="G3" s="1069"/>
      <c r="H3" s="1069"/>
      <c r="I3" s="1069"/>
      <c r="J3" s="1069"/>
      <c r="K3" s="1069"/>
      <c r="L3" s="1069"/>
    </row>
    <row r="4" spans="1:12" ht="15.75">
      <c r="A4" s="1069" t="s">
        <v>1</v>
      </c>
      <c r="B4" s="1069"/>
      <c r="C4" s="1069"/>
      <c r="D4" s="1069"/>
      <c r="E4" s="1069"/>
      <c r="F4" s="1069"/>
      <c r="G4" s="1069"/>
      <c r="H4" s="1069"/>
      <c r="I4" s="1069"/>
      <c r="J4" s="1069"/>
      <c r="K4" s="1069"/>
      <c r="L4" s="1069"/>
    </row>
    <row r="5" spans="1:12" ht="15.75">
      <c r="A5" s="362"/>
      <c r="B5" s="362"/>
      <c r="C5" s="362"/>
      <c r="D5" s="362"/>
      <c r="E5" s="362"/>
      <c r="F5" s="362"/>
      <c r="G5" s="362"/>
      <c r="H5" s="362"/>
      <c r="I5" s="362"/>
      <c r="J5" s="362"/>
      <c r="K5" s="362"/>
      <c r="L5" s="362"/>
    </row>
    <row r="6" spans="1:12" s="29" customFormat="1" ht="15.75">
      <c r="A6" s="374" t="s">
        <v>257</v>
      </c>
      <c r="B6" s="375"/>
      <c r="C6" s="375"/>
      <c r="D6" s="375"/>
      <c r="E6" s="375"/>
      <c r="F6" s="375"/>
      <c r="G6" s="375"/>
      <c r="H6" s="375"/>
      <c r="I6" s="375"/>
      <c r="J6" s="375"/>
      <c r="K6" s="375"/>
      <c r="L6" s="376" t="s">
        <v>256</v>
      </c>
    </row>
    <row r="7" spans="1:12" ht="30.75" customHeight="1" thickBot="1">
      <c r="A7" s="1131" t="s">
        <v>203</v>
      </c>
      <c r="B7" s="1145" t="s">
        <v>202</v>
      </c>
      <c r="C7" s="1145"/>
      <c r="D7" s="1145"/>
      <c r="E7" s="1145"/>
      <c r="F7" s="1145"/>
      <c r="G7" s="1145"/>
      <c r="H7" s="1145"/>
      <c r="I7" s="1145"/>
      <c r="J7" s="1145"/>
      <c r="K7" s="1146" t="s">
        <v>608</v>
      </c>
      <c r="L7" s="1138" t="s">
        <v>201</v>
      </c>
    </row>
    <row r="8" spans="1:12" ht="60.75" customHeight="1">
      <c r="A8" s="1140"/>
      <c r="B8" s="160" t="s">
        <v>615</v>
      </c>
      <c r="C8" s="328" t="s">
        <v>721</v>
      </c>
      <c r="D8" s="160" t="s">
        <v>614</v>
      </c>
      <c r="E8" s="160" t="s">
        <v>613</v>
      </c>
      <c r="F8" s="160" t="s">
        <v>612</v>
      </c>
      <c r="G8" s="160" t="s">
        <v>611</v>
      </c>
      <c r="H8" s="160" t="s">
        <v>610</v>
      </c>
      <c r="I8" s="160" t="s">
        <v>616</v>
      </c>
      <c r="J8" s="160" t="s">
        <v>609</v>
      </c>
      <c r="K8" s="1147"/>
      <c r="L8" s="1141"/>
    </row>
    <row r="9" spans="1:12" ht="22.5" customHeight="1" thickBot="1">
      <c r="A9" s="795" t="s">
        <v>200</v>
      </c>
      <c r="B9" s="349">
        <v>1</v>
      </c>
      <c r="C9" s="342">
        <v>0</v>
      </c>
      <c r="D9" s="342">
        <v>1</v>
      </c>
      <c r="E9" s="342">
        <v>0</v>
      </c>
      <c r="F9" s="342">
        <v>2</v>
      </c>
      <c r="G9" s="342">
        <v>0</v>
      </c>
      <c r="H9" s="342">
        <v>0</v>
      </c>
      <c r="I9" s="342">
        <v>0</v>
      </c>
      <c r="J9" s="509">
        <v>4</v>
      </c>
      <c r="K9" s="165">
        <f>J9/$J$17%</f>
        <v>9.1116173120728935E-2</v>
      </c>
      <c r="L9" s="162" t="s">
        <v>199</v>
      </c>
    </row>
    <row r="10" spans="1:12" ht="22.5" customHeight="1" thickBot="1">
      <c r="A10" s="796" t="s">
        <v>198</v>
      </c>
      <c r="B10" s="350">
        <v>0</v>
      </c>
      <c r="C10" s="344">
        <v>2</v>
      </c>
      <c r="D10" s="344">
        <v>4</v>
      </c>
      <c r="E10" s="344">
        <v>0</v>
      </c>
      <c r="F10" s="344">
        <v>10</v>
      </c>
      <c r="G10" s="344">
        <v>1</v>
      </c>
      <c r="H10" s="344">
        <v>2</v>
      </c>
      <c r="I10" s="344">
        <v>0</v>
      </c>
      <c r="J10" s="509">
        <v>19</v>
      </c>
      <c r="K10" s="307">
        <f t="shared" ref="K10:K16" si="0">J10/$J$17%</f>
        <v>0.43280182232346243</v>
      </c>
      <c r="L10" s="60" t="s">
        <v>197</v>
      </c>
    </row>
    <row r="11" spans="1:12" ht="22.5" customHeight="1" thickBot="1">
      <c r="A11" s="797" t="s">
        <v>196</v>
      </c>
      <c r="B11" s="350">
        <v>0</v>
      </c>
      <c r="C11" s="344">
        <v>4</v>
      </c>
      <c r="D11" s="344">
        <v>13</v>
      </c>
      <c r="E11" s="344">
        <v>29</v>
      </c>
      <c r="F11" s="344">
        <v>66</v>
      </c>
      <c r="G11" s="344">
        <v>0</v>
      </c>
      <c r="H11" s="344">
        <v>21</v>
      </c>
      <c r="I11" s="344">
        <v>1</v>
      </c>
      <c r="J11" s="509">
        <v>134</v>
      </c>
      <c r="K11" s="165">
        <f t="shared" si="0"/>
        <v>3.0523917995444192</v>
      </c>
      <c r="L11" s="59" t="s">
        <v>195</v>
      </c>
    </row>
    <row r="12" spans="1:12" ht="22.5" customHeight="1" thickBot="1">
      <c r="A12" s="796" t="s">
        <v>194</v>
      </c>
      <c r="B12" s="350">
        <v>1</v>
      </c>
      <c r="C12" s="344">
        <v>6</v>
      </c>
      <c r="D12" s="344">
        <v>24</v>
      </c>
      <c r="E12" s="344">
        <v>72</v>
      </c>
      <c r="F12" s="344">
        <v>191</v>
      </c>
      <c r="G12" s="344">
        <v>5</v>
      </c>
      <c r="H12" s="344">
        <v>81</v>
      </c>
      <c r="I12" s="344">
        <v>4</v>
      </c>
      <c r="J12" s="509">
        <v>384</v>
      </c>
      <c r="K12" s="307">
        <f t="shared" si="0"/>
        <v>8.7471526195899774</v>
      </c>
      <c r="L12" s="60" t="s">
        <v>193</v>
      </c>
    </row>
    <row r="13" spans="1:12" ht="22.5" customHeight="1" thickBot="1">
      <c r="A13" s="797" t="s">
        <v>192</v>
      </c>
      <c r="B13" s="350">
        <v>4</v>
      </c>
      <c r="C13" s="344">
        <v>3</v>
      </c>
      <c r="D13" s="344">
        <v>30</v>
      </c>
      <c r="E13" s="344">
        <v>101</v>
      </c>
      <c r="F13" s="344">
        <v>767</v>
      </c>
      <c r="G13" s="344">
        <v>26</v>
      </c>
      <c r="H13" s="344">
        <v>417</v>
      </c>
      <c r="I13" s="344">
        <v>9</v>
      </c>
      <c r="J13" s="509">
        <v>1357</v>
      </c>
      <c r="K13" s="165">
        <f t="shared" si="0"/>
        <v>30.91116173120729</v>
      </c>
      <c r="L13" s="59" t="s">
        <v>191</v>
      </c>
    </row>
    <row r="14" spans="1:12" ht="22.5" customHeight="1" thickBot="1">
      <c r="A14" s="796" t="s">
        <v>549</v>
      </c>
      <c r="B14" s="350">
        <v>0</v>
      </c>
      <c r="C14" s="344">
        <v>0</v>
      </c>
      <c r="D14" s="344">
        <v>1</v>
      </c>
      <c r="E14" s="344">
        <v>10</v>
      </c>
      <c r="F14" s="344">
        <v>87</v>
      </c>
      <c r="G14" s="344">
        <v>10</v>
      </c>
      <c r="H14" s="344">
        <v>75</v>
      </c>
      <c r="I14" s="344">
        <v>1</v>
      </c>
      <c r="J14" s="509">
        <v>184</v>
      </c>
      <c r="K14" s="307">
        <f t="shared" si="0"/>
        <v>4.191343963553531</v>
      </c>
      <c r="L14" s="387" t="s">
        <v>550</v>
      </c>
    </row>
    <row r="15" spans="1:12" ht="22.5" customHeight="1" thickBot="1">
      <c r="A15" s="797" t="s">
        <v>190</v>
      </c>
      <c r="B15" s="350">
        <v>0</v>
      </c>
      <c r="C15" s="344">
        <v>3</v>
      </c>
      <c r="D15" s="344">
        <v>14</v>
      </c>
      <c r="E15" s="344">
        <v>46</v>
      </c>
      <c r="F15" s="344">
        <v>787</v>
      </c>
      <c r="G15" s="344">
        <v>58</v>
      </c>
      <c r="H15" s="344">
        <v>1381</v>
      </c>
      <c r="I15" s="344">
        <v>6</v>
      </c>
      <c r="J15" s="509">
        <v>2295</v>
      </c>
      <c r="K15" s="165">
        <f t="shared" si="0"/>
        <v>52.277904328018224</v>
      </c>
      <c r="L15" s="59" t="s">
        <v>189</v>
      </c>
    </row>
    <row r="16" spans="1:12" ht="22.5" customHeight="1">
      <c r="A16" s="798" t="s">
        <v>14</v>
      </c>
      <c r="B16" s="351">
        <v>0</v>
      </c>
      <c r="C16" s="345">
        <v>0</v>
      </c>
      <c r="D16" s="345">
        <v>0</v>
      </c>
      <c r="E16" s="345">
        <v>3</v>
      </c>
      <c r="F16" s="345">
        <v>7</v>
      </c>
      <c r="G16" s="345">
        <v>0</v>
      </c>
      <c r="H16" s="345">
        <v>3</v>
      </c>
      <c r="I16" s="345">
        <v>0</v>
      </c>
      <c r="J16" s="510">
        <v>13</v>
      </c>
      <c r="K16" s="289">
        <f t="shared" si="0"/>
        <v>0.29612756264236906</v>
      </c>
      <c r="L16" s="58" t="s">
        <v>188</v>
      </c>
    </row>
    <row r="17" spans="1:12" ht="22.5" customHeight="1" thickBot="1">
      <c r="A17" s="266" t="s">
        <v>16</v>
      </c>
      <c r="B17" s="994">
        <f>SUBTOTAL(109,Table_Default__XLS_TAB_16_3[ILLITERATE_CNT])</f>
        <v>6</v>
      </c>
      <c r="C17" s="995">
        <f>SUBTOTAL(109,Table_Default__XLS_TAB_16_3[READ_AND_WRITE_CNT])</f>
        <v>18</v>
      </c>
      <c r="D17" s="995">
        <f>SUBTOTAL(109,Table_Default__XLS_TAB_16_3[PRIMARY_CNT])</f>
        <v>87</v>
      </c>
      <c r="E17" s="995">
        <f>SUBTOTAL(109,Table_Default__XLS_TAB_16_3[PREPARATORY_CNT])</f>
        <v>261</v>
      </c>
      <c r="F17" s="995">
        <f>SUBTOTAL(109,Table_Default__XLS_TAB_16_3[SECONDARY_CNT])</f>
        <v>1917</v>
      </c>
      <c r="G17" s="995">
        <f>SUBTOTAL(109,Table_Default__XLS_TAB_16_3[PRE_UNIVERSITY_CNT])</f>
        <v>100</v>
      </c>
      <c r="H17" s="995">
        <f>SUBTOTAL(109,Table_Default__XLS_TAB_16_3[UNIV_ABOVE_CNT])</f>
        <v>1980</v>
      </c>
      <c r="I17" s="995">
        <f>SUBTOTAL(109,Table_Default__XLS_TAB_16_3[NOT_STATED_CNT])</f>
        <v>21</v>
      </c>
      <c r="J17" s="993">
        <f>SUBTOTAL(109,Table_Default__XLS_TAB_16_3[TOTAL])</f>
        <v>4390</v>
      </c>
      <c r="K17" s="434">
        <f>SUM(K9:K16)</f>
        <v>100</v>
      </c>
      <c r="L17" s="164" t="s">
        <v>55</v>
      </c>
    </row>
    <row r="18" spans="1:12" ht="22.5" customHeight="1">
      <c r="A18" s="507" t="s">
        <v>186</v>
      </c>
      <c r="B18" s="508">
        <f>Table_Default__XLS_TAB_16_3[[#Totals],[ILLITERATE_CNT]]/Table_Default__XLS_TAB_16_3[[#Totals],[TOTAL]]%</f>
        <v>0.1366742596810934</v>
      </c>
      <c r="C18" s="508">
        <f>Table_Default__XLS_TAB_16_3[[#Totals],[READ_AND_WRITE_CNT]]/Table_Default__XLS_TAB_16_3[[#Totals],[TOTAL]]%</f>
        <v>0.41002277904328022</v>
      </c>
      <c r="D18" s="508">
        <f>Table_Default__XLS_TAB_16_3[[#Totals],[PRIMARY_CNT]]/Table_Default__XLS_TAB_16_3[[#Totals],[TOTAL]]%</f>
        <v>1.9817767653758542</v>
      </c>
      <c r="E18" s="508">
        <f>Table_Default__XLS_TAB_16_3[[#Totals],[PREPARATORY_CNT]]/Table_Default__XLS_TAB_16_3[[#Totals],[TOTAL]]%</f>
        <v>5.9453302961275627</v>
      </c>
      <c r="F18" s="508">
        <f>Table_Default__XLS_TAB_16_3[[#Totals],[SECONDARY_CNT]]/Table_Default__XLS_TAB_16_3[[#Totals],[TOTAL]]%</f>
        <v>43.667425968109342</v>
      </c>
      <c r="G18" s="508">
        <f>Table_Default__XLS_TAB_16_3[[#Totals],[PRE_UNIVERSITY_CNT]]/Table_Default__XLS_TAB_16_3[[#Totals],[TOTAL]]%</f>
        <v>2.2779043280182232</v>
      </c>
      <c r="H18" s="508">
        <f>Table_Default__XLS_TAB_16_3[[#Totals],[UNIV_ABOVE_CNT]]/Table_Default__XLS_TAB_16_3[[#Totals],[TOTAL]]%</f>
        <v>45.102505694760822</v>
      </c>
      <c r="I18" s="508">
        <f>Table_Default__XLS_TAB_16_3[[#Totals],[NOT_STATED_CNT]]/Table_Default__XLS_TAB_16_3[[#Totals],[TOTAL]]%</f>
        <v>0.4783599088838269</v>
      </c>
      <c r="J18" s="508">
        <f>SUM(B18:I18)</f>
        <v>100.00000000000001</v>
      </c>
      <c r="K18" s="1148" t="s">
        <v>185</v>
      </c>
      <c r="L18" s="1143"/>
    </row>
    <row r="25" spans="1:12">
      <c r="A25" s="2" t="s">
        <v>203</v>
      </c>
      <c r="B25" s="2" t="s">
        <v>218</v>
      </c>
      <c r="C25" s="2" t="s">
        <v>217</v>
      </c>
    </row>
    <row r="26" spans="1:12">
      <c r="A26" s="2" t="s">
        <v>216</v>
      </c>
      <c r="B26" s="166">
        <f>J9</f>
        <v>4</v>
      </c>
      <c r="C26" s="2">
        <f>Table_Default__XLS_TAB_16_3[[#Totals],[ILLITERATE_CNT]]</f>
        <v>6</v>
      </c>
    </row>
    <row r="27" spans="1:12">
      <c r="A27" s="2" t="s">
        <v>215</v>
      </c>
      <c r="B27" s="166">
        <f t="shared" ref="B27:B33" si="1">J10</f>
        <v>19</v>
      </c>
      <c r="C27" s="2">
        <f>Table_Default__XLS_TAB_16_3[[#Totals],[READ_AND_WRITE_CNT]]</f>
        <v>18</v>
      </c>
    </row>
    <row r="28" spans="1:12">
      <c r="A28" s="2" t="s">
        <v>214</v>
      </c>
      <c r="B28" s="166">
        <f t="shared" si="1"/>
        <v>134</v>
      </c>
      <c r="C28" s="2">
        <f>Table_Default__XLS_TAB_16_3[[#Totals],[PRIMARY_CNT]]</f>
        <v>87</v>
      </c>
    </row>
    <row r="29" spans="1:12">
      <c r="A29" s="2" t="s">
        <v>213</v>
      </c>
      <c r="B29" s="166">
        <f t="shared" si="1"/>
        <v>384</v>
      </c>
      <c r="C29" s="2">
        <f>Table_Default__XLS_TAB_16_3[[#Totals],[PREPARATORY_CNT]]</f>
        <v>261</v>
      </c>
    </row>
    <row r="30" spans="1:12">
      <c r="A30" s="2" t="s">
        <v>212</v>
      </c>
      <c r="B30" s="166">
        <f t="shared" si="1"/>
        <v>1357</v>
      </c>
      <c r="C30" s="2">
        <f>Table_Default__XLS_TAB_16_3[[#Totals],[SECONDARY_CNT]]</f>
        <v>1917</v>
      </c>
    </row>
    <row r="31" spans="1:12" ht="25.5">
      <c r="A31" s="173" t="s">
        <v>545</v>
      </c>
      <c r="B31" s="166">
        <f t="shared" si="1"/>
        <v>184</v>
      </c>
      <c r="C31" s="2">
        <f>Table_Default__XLS_TAB_16_3[[#Totals],[PRE_UNIVERSITY_CNT]]</f>
        <v>100</v>
      </c>
    </row>
    <row r="32" spans="1:12">
      <c r="A32" s="2" t="s">
        <v>211</v>
      </c>
      <c r="B32" s="166">
        <f t="shared" si="1"/>
        <v>2295</v>
      </c>
      <c r="C32" s="2">
        <f>Table_Default__XLS_TAB_16_3[[#Totals],[UNIV_ABOVE_CNT]]</f>
        <v>1980</v>
      </c>
    </row>
    <row r="33" spans="1:3">
      <c r="A33" s="2" t="s">
        <v>210</v>
      </c>
      <c r="B33" s="166">
        <f t="shared" si="1"/>
        <v>13</v>
      </c>
      <c r="C33" s="2">
        <f>Table_Default__XLS_TAB_16_3[[#Totals],[NOT_STATED_CNT]]</f>
        <v>21</v>
      </c>
    </row>
    <row r="34" spans="1:3">
      <c r="B34" s="2">
        <f>SUM(B26:B33)</f>
        <v>4390</v>
      </c>
      <c r="C34" s="2">
        <f>SUM(C26:C33)</f>
        <v>4390</v>
      </c>
    </row>
  </sheetData>
  <mergeCells count="9">
    <mergeCell ref="K18:L18"/>
    <mergeCell ref="A1:L1"/>
    <mergeCell ref="A2:L2"/>
    <mergeCell ref="A3:L3"/>
    <mergeCell ref="A4:L4"/>
    <mergeCell ref="A7:A8"/>
    <mergeCell ref="B7:J7"/>
    <mergeCell ref="K7:K8"/>
    <mergeCell ref="L7:L8"/>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33:M33"/>
  <sheetViews>
    <sheetView rightToLeft="1" view="pageBreakPreview" zoomScaleNormal="100" zoomScaleSheetLayoutView="100" workbookViewId="0">
      <selection activeCell="F35" sqref="F35"/>
    </sheetView>
  </sheetViews>
  <sheetFormatPr defaultColWidth="9.140625" defaultRowHeight="12.75"/>
  <cols>
    <col min="1" max="16384" width="9.140625" style="1"/>
  </cols>
  <sheetData>
    <row r="33" spans="1:13" ht="15.75">
      <c r="A33" s="1070" t="s">
        <v>221</v>
      </c>
      <c r="B33" s="1070"/>
      <c r="C33" s="1070"/>
      <c r="D33" s="1070"/>
      <c r="E33" s="1070"/>
      <c r="F33" s="1070"/>
      <c r="G33" s="1070"/>
      <c r="H33" s="1070"/>
      <c r="I33" s="1070"/>
      <c r="J33" s="1070"/>
      <c r="K33" s="1070"/>
      <c r="L33" s="1070"/>
      <c r="M33" s="1070"/>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O23"/>
  <sheetViews>
    <sheetView rightToLeft="1" view="pageBreakPreview" topLeftCell="A10" zoomScaleNormal="75" zoomScaleSheetLayoutView="100" workbookViewId="0">
      <selection activeCell="A19" sqref="A19:XFD22"/>
    </sheetView>
  </sheetViews>
  <sheetFormatPr defaultColWidth="9.140625" defaultRowHeight="12.75"/>
  <cols>
    <col min="1" max="1" width="26.28515625" style="1" customWidth="1"/>
    <col min="2" max="2" width="8.5703125" style="1" customWidth="1"/>
    <col min="3" max="3" width="12.42578125" style="1" customWidth="1"/>
    <col min="4" max="4" width="10.140625" style="1" customWidth="1"/>
    <col min="5" max="5" width="6.42578125" style="1" bestFit="1" customWidth="1"/>
    <col min="6" max="6" width="9.7109375" style="1" customWidth="1"/>
    <col min="7" max="7" width="9.28515625" style="1" customWidth="1"/>
    <col min="8" max="8" width="12.28515625" style="1" customWidth="1"/>
    <col min="9" max="9" width="9.5703125" style="1" customWidth="1"/>
    <col min="10" max="10" width="8.28515625" style="1" customWidth="1"/>
    <col min="11" max="11" width="7.85546875" style="1" customWidth="1"/>
    <col min="12" max="12" width="8.28515625" style="1" customWidth="1"/>
    <col min="13" max="13" width="8" style="1" customWidth="1"/>
    <col min="14" max="14" width="9.85546875" style="1" customWidth="1"/>
    <col min="15" max="15" width="30.28515625" style="1" customWidth="1"/>
    <col min="16" max="16384" width="9.140625" style="1"/>
  </cols>
  <sheetData>
    <row r="1" spans="1:15" s="2" customFormat="1" ht="18.75" customHeight="1">
      <c r="A1" s="1152" t="s">
        <v>242</v>
      </c>
      <c r="B1" s="1152"/>
      <c r="C1" s="1152"/>
      <c r="D1" s="1152"/>
      <c r="E1" s="1152"/>
      <c r="F1" s="1152"/>
      <c r="G1" s="1152"/>
      <c r="H1" s="1152"/>
      <c r="I1" s="1152"/>
      <c r="J1" s="1152"/>
      <c r="K1" s="1152"/>
      <c r="L1" s="1152"/>
      <c r="M1" s="1152"/>
      <c r="N1" s="1152"/>
      <c r="O1" s="1152"/>
    </row>
    <row r="2" spans="1:15" s="2" customFormat="1" ht="15.75">
      <c r="A2" s="1153" t="s">
        <v>241</v>
      </c>
      <c r="B2" s="1153"/>
      <c r="C2" s="1153"/>
      <c r="D2" s="1153"/>
      <c r="E2" s="1153"/>
      <c r="F2" s="1153"/>
      <c r="G2" s="1153"/>
      <c r="H2" s="1153"/>
      <c r="I2" s="1153"/>
      <c r="J2" s="1153"/>
      <c r="K2" s="1153"/>
      <c r="L2" s="1153"/>
      <c r="M2" s="1153"/>
      <c r="N2" s="1153"/>
      <c r="O2" s="1153"/>
    </row>
    <row r="3" spans="1:15" s="2" customFormat="1" ht="15" customHeight="1">
      <c r="A3" s="1154">
        <v>2021</v>
      </c>
      <c r="B3" s="1154"/>
      <c r="C3" s="1154"/>
      <c r="D3" s="1154"/>
      <c r="E3" s="1154"/>
      <c r="F3" s="1154"/>
      <c r="G3" s="1154"/>
      <c r="H3" s="1154"/>
      <c r="I3" s="1154"/>
      <c r="J3" s="1154"/>
      <c r="K3" s="1154"/>
      <c r="L3" s="1154"/>
      <c r="M3" s="1154"/>
      <c r="N3" s="1154"/>
      <c r="O3" s="1154"/>
    </row>
    <row r="4" spans="1:15" s="2" customFormat="1" ht="15.75">
      <c r="A4" s="1155" t="s">
        <v>52</v>
      </c>
      <c r="B4" s="1155"/>
      <c r="C4" s="1155"/>
      <c r="D4" s="1155"/>
      <c r="E4" s="1155"/>
      <c r="F4" s="1155"/>
      <c r="G4" s="1155"/>
      <c r="H4" s="1155"/>
      <c r="I4" s="1155"/>
      <c r="J4" s="1155"/>
      <c r="K4" s="1155"/>
      <c r="L4" s="1155"/>
      <c r="M4" s="1155"/>
      <c r="N4" s="1155"/>
      <c r="O4" s="1155"/>
    </row>
    <row r="5" spans="1:15" s="2" customFormat="1" ht="15.75">
      <c r="A5" s="377"/>
      <c r="B5" s="377"/>
      <c r="C5" s="377"/>
      <c r="D5" s="377"/>
      <c r="E5" s="377"/>
      <c r="F5" s="377"/>
      <c r="G5" s="377"/>
      <c r="H5" s="377"/>
      <c r="I5" s="377"/>
      <c r="J5" s="377"/>
      <c r="K5" s="377"/>
      <c r="L5" s="377"/>
      <c r="M5" s="377"/>
      <c r="N5" s="377"/>
      <c r="O5" s="377"/>
    </row>
    <row r="6" spans="1:15" ht="15.75">
      <c r="A6" s="374" t="s">
        <v>260</v>
      </c>
      <c r="B6" s="378"/>
      <c r="C6" s="378"/>
      <c r="D6" s="378"/>
      <c r="E6" s="378"/>
      <c r="F6" s="378"/>
      <c r="G6" s="378"/>
      <c r="H6" s="378"/>
      <c r="I6" s="378"/>
      <c r="J6" s="378"/>
      <c r="K6" s="378"/>
      <c r="L6" s="378"/>
      <c r="M6" s="378"/>
      <c r="N6" s="378"/>
      <c r="O6" s="376" t="s">
        <v>259</v>
      </c>
    </row>
    <row r="7" spans="1:15" ht="20.25" customHeight="1" thickBot="1">
      <c r="A7" s="1131" t="s">
        <v>238</v>
      </c>
      <c r="B7" s="1150" t="s">
        <v>237</v>
      </c>
      <c r="C7" s="1150"/>
      <c r="D7" s="1150"/>
      <c r="E7" s="1150"/>
      <c r="F7" s="1150"/>
      <c r="G7" s="1150"/>
      <c r="H7" s="1150"/>
      <c r="I7" s="1150"/>
      <c r="J7" s="1150"/>
      <c r="K7" s="1150"/>
      <c r="L7" s="1150"/>
      <c r="M7" s="1150"/>
      <c r="N7" s="1150"/>
      <c r="O7" s="1138" t="s">
        <v>236</v>
      </c>
    </row>
    <row r="8" spans="1:15" ht="84" customHeight="1" thickBot="1">
      <c r="A8" s="1149"/>
      <c r="B8" s="333" t="s">
        <v>722</v>
      </c>
      <c r="C8" s="333" t="s">
        <v>233</v>
      </c>
      <c r="D8" s="333" t="s">
        <v>232</v>
      </c>
      <c r="E8" s="333" t="s">
        <v>231</v>
      </c>
      <c r="F8" s="334" t="s">
        <v>230</v>
      </c>
      <c r="G8" s="334" t="s">
        <v>579</v>
      </c>
      <c r="H8" s="334" t="s">
        <v>723</v>
      </c>
      <c r="I8" s="334" t="s">
        <v>724</v>
      </c>
      <c r="J8" s="334" t="s">
        <v>228</v>
      </c>
      <c r="K8" s="334" t="s">
        <v>227</v>
      </c>
      <c r="L8" s="335" t="s">
        <v>16</v>
      </c>
      <c r="M8" s="334" t="s">
        <v>1083</v>
      </c>
      <c r="N8" s="333" t="s">
        <v>235</v>
      </c>
      <c r="O8" s="1151"/>
    </row>
    <row r="9" spans="1:15" ht="60.75" customHeight="1" thickBot="1">
      <c r="A9" s="1140"/>
      <c r="B9" s="601" t="s">
        <v>691</v>
      </c>
      <c r="C9" s="601" t="s">
        <v>692</v>
      </c>
      <c r="D9" s="601" t="s">
        <v>693</v>
      </c>
      <c r="E9" s="601" t="s">
        <v>694</v>
      </c>
      <c r="F9" s="601" t="s">
        <v>1019</v>
      </c>
      <c r="G9" s="601" t="s">
        <v>695</v>
      </c>
      <c r="H9" s="601" t="s">
        <v>696</v>
      </c>
      <c r="I9" s="601" t="s">
        <v>697</v>
      </c>
      <c r="J9" s="601" t="s">
        <v>698</v>
      </c>
      <c r="K9" s="601" t="s">
        <v>226</v>
      </c>
      <c r="L9" s="601" t="s">
        <v>55</v>
      </c>
      <c r="M9" s="602" t="s">
        <v>699</v>
      </c>
      <c r="N9" s="511" t="s">
        <v>234</v>
      </c>
      <c r="O9" s="1141"/>
    </row>
    <row r="10" spans="1:15" ht="32.25" thickBot="1">
      <c r="A10" s="799" t="s">
        <v>733</v>
      </c>
      <c r="B10" s="449">
        <v>7</v>
      </c>
      <c r="C10" s="449">
        <v>22</v>
      </c>
      <c r="D10" s="449">
        <v>123</v>
      </c>
      <c r="E10" s="449">
        <v>48</v>
      </c>
      <c r="F10" s="449">
        <v>2</v>
      </c>
      <c r="G10" s="449">
        <v>0</v>
      </c>
      <c r="H10" s="449">
        <v>0</v>
      </c>
      <c r="I10" s="449">
        <v>0</v>
      </c>
      <c r="J10" s="449">
        <v>0</v>
      </c>
      <c r="K10" s="449">
        <v>0</v>
      </c>
      <c r="L10" s="512">
        <v>202</v>
      </c>
      <c r="M10" s="449">
        <v>365</v>
      </c>
      <c r="N10" s="512">
        <v>567</v>
      </c>
      <c r="O10" s="731" t="s">
        <v>1095</v>
      </c>
    </row>
    <row r="11" spans="1:15" ht="22.5" customHeight="1" thickBot="1">
      <c r="A11" s="797" t="s">
        <v>233</v>
      </c>
      <c r="B11" s="142">
        <v>1</v>
      </c>
      <c r="C11" s="142">
        <v>18</v>
      </c>
      <c r="D11" s="142">
        <v>33</v>
      </c>
      <c r="E11" s="142">
        <v>10</v>
      </c>
      <c r="F11" s="142">
        <v>0</v>
      </c>
      <c r="G11" s="142">
        <v>0</v>
      </c>
      <c r="H11" s="142">
        <v>0</v>
      </c>
      <c r="I11" s="142">
        <v>0</v>
      </c>
      <c r="J11" s="142">
        <v>0</v>
      </c>
      <c r="K11" s="142">
        <v>0</v>
      </c>
      <c r="L11" s="512">
        <v>62</v>
      </c>
      <c r="M11" s="142">
        <v>79</v>
      </c>
      <c r="N11" s="512">
        <v>141</v>
      </c>
      <c r="O11" s="732" t="s">
        <v>1096</v>
      </c>
    </row>
    <row r="12" spans="1:15" ht="32.25" thickBot="1">
      <c r="A12" s="797" t="s">
        <v>232</v>
      </c>
      <c r="B12" s="142">
        <v>3</v>
      </c>
      <c r="C12" s="142">
        <v>26</v>
      </c>
      <c r="D12" s="142">
        <v>161</v>
      </c>
      <c r="E12" s="142">
        <v>77</v>
      </c>
      <c r="F12" s="142">
        <v>0</v>
      </c>
      <c r="G12" s="142">
        <v>0</v>
      </c>
      <c r="H12" s="142">
        <v>0</v>
      </c>
      <c r="I12" s="142">
        <v>0</v>
      </c>
      <c r="J12" s="142">
        <v>0</v>
      </c>
      <c r="K12" s="142">
        <v>0</v>
      </c>
      <c r="L12" s="512">
        <v>267</v>
      </c>
      <c r="M12" s="142">
        <v>284</v>
      </c>
      <c r="N12" s="512">
        <v>551</v>
      </c>
      <c r="O12" s="733" t="s">
        <v>1097</v>
      </c>
    </row>
    <row r="13" spans="1:15" ht="22.5" customHeight="1" thickBot="1">
      <c r="A13" s="797" t="s">
        <v>231</v>
      </c>
      <c r="B13" s="142">
        <v>4</v>
      </c>
      <c r="C13" s="142">
        <v>41</v>
      </c>
      <c r="D13" s="142">
        <v>143</v>
      </c>
      <c r="E13" s="142">
        <v>181</v>
      </c>
      <c r="F13" s="142">
        <v>5</v>
      </c>
      <c r="G13" s="142">
        <v>0</v>
      </c>
      <c r="H13" s="142">
        <v>0</v>
      </c>
      <c r="I13" s="142">
        <v>0</v>
      </c>
      <c r="J13" s="142">
        <v>1</v>
      </c>
      <c r="K13" s="142">
        <v>0</v>
      </c>
      <c r="L13" s="512">
        <v>375</v>
      </c>
      <c r="M13" s="142">
        <v>547</v>
      </c>
      <c r="N13" s="512">
        <v>922</v>
      </c>
      <c r="O13" s="732" t="s">
        <v>1098</v>
      </c>
    </row>
    <row r="14" spans="1:15" ht="39" thickBot="1">
      <c r="A14" s="797" t="s">
        <v>230</v>
      </c>
      <c r="B14" s="142">
        <v>4</v>
      </c>
      <c r="C14" s="142">
        <v>3</v>
      </c>
      <c r="D14" s="142">
        <v>15</v>
      </c>
      <c r="E14" s="142">
        <v>21</v>
      </c>
      <c r="F14" s="142">
        <v>2</v>
      </c>
      <c r="G14" s="142">
        <v>0</v>
      </c>
      <c r="H14" s="142">
        <v>0</v>
      </c>
      <c r="I14" s="142">
        <v>0</v>
      </c>
      <c r="J14" s="142">
        <v>0</v>
      </c>
      <c r="K14" s="142">
        <v>0</v>
      </c>
      <c r="L14" s="512">
        <v>45</v>
      </c>
      <c r="M14" s="142">
        <v>54</v>
      </c>
      <c r="N14" s="512">
        <v>99</v>
      </c>
      <c r="O14" s="733" t="s">
        <v>1099</v>
      </c>
    </row>
    <row r="15" spans="1:15" ht="32.25" thickBot="1">
      <c r="A15" s="797" t="s">
        <v>229</v>
      </c>
      <c r="B15" s="142">
        <v>0</v>
      </c>
      <c r="C15" s="142">
        <v>0</v>
      </c>
      <c r="D15" s="142">
        <v>0</v>
      </c>
      <c r="E15" s="142">
        <v>0</v>
      </c>
      <c r="F15" s="142">
        <v>0</v>
      </c>
      <c r="G15" s="142">
        <v>0</v>
      </c>
      <c r="H15" s="142">
        <v>0</v>
      </c>
      <c r="I15" s="142">
        <v>0</v>
      </c>
      <c r="J15" s="142">
        <v>0</v>
      </c>
      <c r="K15" s="142">
        <v>0</v>
      </c>
      <c r="L15" s="512">
        <v>0</v>
      </c>
      <c r="M15" s="142">
        <v>0</v>
      </c>
      <c r="N15" s="512">
        <v>0</v>
      </c>
      <c r="O15" s="732" t="s">
        <v>1100</v>
      </c>
    </row>
    <row r="16" spans="1:15" ht="32.25" thickBot="1">
      <c r="A16" s="797" t="s">
        <v>734</v>
      </c>
      <c r="B16" s="142">
        <v>0</v>
      </c>
      <c r="C16" s="142">
        <v>0</v>
      </c>
      <c r="D16" s="142">
        <v>0</v>
      </c>
      <c r="E16" s="142">
        <v>0</v>
      </c>
      <c r="F16" s="142">
        <v>0</v>
      </c>
      <c r="G16" s="142">
        <v>0</v>
      </c>
      <c r="H16" s="142">
        <v>0</v>
      </c>
      <c r="I16" s="142">
        <v>0</v>
      </c>
      <c r="J16" s="142">
        <v>0</v>
      </c>
      <c r="K16" s="142">
        <v>0</v>
      </c>
      <c r="L16" s="512">
        <v>0</v>
      </c>
      <c r="M16" s="142">
        <v>0</v>
      </c>
      <c r="N16" s="512">
        <v>0</v>
      </c>
      <c r="O16" s="733" t="s">
        <v>1101</v>
      </c>
    </row>
    <row r="17" spans="1:15" ht="39" thickBot="1">
      <c r="A17" s="797" t="s">
        <v>735</v>
      </c>
      <c r="B17" s="142">
        <v>0</v>
      </c>
      <c r="C17" s="142">
        <v>0</v>
      </c>
      <c r="D17" s="142">
        <v>0</v>
      </c>
      <c r="E17" s="142">
        <v>0</v>
      </c>
      <c r="F17" s="142">
        <v>0</v>
      </c>
      <c r="G17" s="142">
        <v>0</v>
      </c>
      <c r="H17" s="142">
        <v>0</v>
      </c>
      <c r="I17" s="142">
        <v>0</v>
      </c>
      <c r="J17" s="142">
        <v>0</v>
      </c>
      <c r="K17" s="142">
        <v>0</v>
      </c>
      <c r="L17" s="512">
        <v>0</v>
      </c>
      <c r="M17" s="142">
        <v>3</v>
      </c>
      <c r="N17" s="512">
        <v>3</v>
      </c>
      <c r="O17" s="732" t="s">
        <v>1102</v>
      </c>
    </row>
    <row r="18" spans="1:15" ht="22.5" customHeight="1" thickBot="1">
      <c r="A18" s="797" t="s">
        <v>228</v>
      </c>
      <c r="B18" s="142">
        <v>1</v>
      </c>
      <c r="C18" s="142">
        <v>1</v>
      </c>
      <c r="D18" s="142">
        <v>1</v>
      </c>
      <c r="E18" s="142">
        <v>14</v>
      </c>
      <c r="F18" s="142">
        <v>0</v>
      </c>
      <c r="G18" s="142">
        <v>0</v>
      </c>
      <c r="H18" s="142">
        <v>0</v>
      </c>
      <c r="I18" s="142">
        <v>0</v>
      </c>
      <c r="J18" s="142">
        <v>0</v>
      </c>
      <c r="K18" s="142">
        <v>0</v>
      </c>
      <c r="L18" s="512">
        <v>17</v>
      </c>
      <c r="M18" s="142">
        <v>26</v>
      </c>
      <c r="N18" s="512">
        <v>43</v>
      </c>
      <c r="O18" s="733" t="s">
        <v>1103</v>
      </c>
    </row>
    <row r="19" spans="1:15" ht="31.5" customHeight="1">
      <c r="A19" s="800" t="s">
        <v>227</v>
      </c>
      <c r="B19" s="143">
        <v>0</v>
      </c>
      <c r="C19" s="143">
        <v>0</v>
      </c>
      <c r="D19" s="143">
        <v>0</v>
      </c>
      <c r="E19" s="143">
        <v>0</v>
      </c>
      <c r="F19" s="143">
        <v>0</v>
      </c>
      <c r="G19" s="143">
        <v>0</v>
      </c>
      <c r="H19" s="143">
        <v>0</v>
      </c>
      <c r="I19" s="143">
        <v>0</v>
      </c>
      <c r="J19" s="143">
        <v>0</v>
      </c>
      <c r="K19" s="143">
        <v>0</v>
      </c>
      <c r="L19" s="753">
        <v>0</v>
      </c>
      <c r="M19" s="143">
        <v>0</v>
      </c>
      <c r="N19" s="753">
        <v>0</v>
      </c>
      <c r="O19" s="734" t="s">
        <v>226</v>
      </c>
    </row>
    <row r="20" spans="1:15" ht="22.5" customHeight="1">
      <c r="A20" s="801" t="s">
        <v>16</v>
      </c>
      <c r="B20" s="754">
        <v>20</v>
      </c>
      <c r="C20" s="754">
        <v>111</v>
      </c>
      <c r="D20" s="754">
        <v>476</v>
      </c>
      <c r="E20" s="754">
        <v>351</v>
      </c>
      <c r="F20" s="754">
        <v>9</v>
      </c>
      <c r="G20" s="754">
        <v>0</v>
      </c>
      <c r="H20" s="754">
        <v>0</v>
      </c>
      <c r="I20" s="754">
        <v>0</v>
      </c>
      <c r="J20" s="754">
        <v>1</v>
      </c>
      <c r="K20" s="754">
        <v>0</v>
      </c>
      <c r="L20" s="754">
        <v>968</v>
      </c>
      <c r="M20" s="754">
        <v>1358</v>
      </c>
      <c r="N20" s="754">
        <v>2326</v>
      </c>
      <c r="O20" s="304" t="s">
        <v>55</v>
      </c>
    </row>
    <row r="21" spans="1:15" ht="33" customHeight="1">
      <c r="A21" s="802" t="s">
        <v>1104</v>
      </c>
      <c r="B21" s="167">
        <v>1</v>
      </c>
      <c r="C21" s="167">
        <v>8</v>
      </c>
      <c r="D21" s="167">
        <v>11</v>
      </c>
      <c r="E21" s="167">
        <v>16</v>
      </c>
      <c r="F21" s="167">
        <v>1</v>
      </c>
      <c r="G21" s="167">
        <v>0</v>
      </c>
      <c r="H21" s="167">
        <v>0</v>
      </c>
      <c r="I21" s="167">
        <v>0</v>
      </c>
      <c r="J21" s="167">
        <v>0</v>
      </c>
      <c r="K21" s="167">
        <v>0</v>
      </c>
      <c r="L21" s="447">
        <v>37</v>
      </c>
      <c r="M21" s="167">
        <v>66</v>
      </c>
      <c r="N21" s="447">
        <v>103</v>
      </c>
      <c r="O21" s="803" t="s">
        <v>225</v>
      </c>
    </row>
    <row r="22" spans="1:15" ht="22.5" customHeight="1">
      <c r="A22" s="996" t="s">
        <v>224</v>
      </c>
      <c r="B22" s="969">
        <f t="shared" ref="B22:M22" si="0">(SUM(B20+B21))</f>
        <v>21</v>
      </c>
      <c r="C22" s="969">
        <f t="shared" si="0"/>
        <v>119</v>
      </c>
      <c r="D22" s="969">
        <f t="shared" si="0"/>
        <v>487</v>
      </c>
      <c r="E22" s="969">
        <f t="shared" si="0"/>
        <v>367</v>
      </c>
      <c r="F22" s="969">
        <f t="shared" si="0"/>
        <v>10</v>
      </c>
      <c r="G22" s="969">
        <f t="shared" si="0"/>
        <v>0</v>
      </c>
      <c r="H22" s="969">
        <f t="shared" si="0"/>
        <v>0</v>
      </c>
      <c r="I22" s="969">
        <f t="shared" si="0"/>
        <v>0</v>
      </c>
      <c r="J22" s="969">
        <f t="shared" si="0"/>
        <v>1</v>
      </c>
      <c r="K22" s="969">
        <f t="shared" si="0"/>
        <v>0</v>
      </c>
      <c r="L22" s="969">
        <f t="shared" si="0"/>
        <v>1005</v>
      </c>
      <c r="M22" s="969">
        <f t="shared" si="0"/>
        <v>1424</v>
      </c>
      <c r="N22" s="969">
        <f>(SUM(N20+N21))</f>
        <v>2429</v>
      </c>
      <c r="O22" s="997" t="s">
        <v>223</v>
      </c>
    </row>
    <row r="23" spans="1:15" s="920" customFormat="1" ht="16.5" customHeight="1">
      <c r="A23" s="921" t="s">
        <v>222</v>
      </c>
      <c r="O23" s="922" t="s">
        <v>1086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O23"/>
  <sheetViews>
    <sheetView rightToLeft="1" view="pageBreakPreview" topLeftCell="A10" zoomScaleNormal="75" zoomScaleSheetLayoutView="100" workbookViewId="0">
      <selection activeCell="J19" sqref="J19"/>
    </sheetView>
  </sheetViews>
  <sheetFormatPr defaultColWidth="9.140625" defaultRowHeight="12.75"/>
  <cols>
    <col min="1" max="1" width="26.28515625" style="1" customWidth="1"/>
    <col min="2" max="2" width="8.5703125" style="1" customWidth="1"/>
    <col min="3" max="3" width="12.42578125" style="1" customWidth="1"/>
    <col min="4" max="4" width="10.140625" style="1" customWidth="1"/>
    <col min="5" max="5" width="6.42578125" style="1" bestFit="1" customWidth="1"/>
    <col min="6" max="6" width="9.7109375" style="1" customWidth="1"/>
    <col min="7" max="7" width="9.28515625" style="1" customWidth="1"/>
    <col min="8" max="8" width="12.28515625" style="1" customWidth="1"/>
    <col min="9" max="9" width="9.5703125" style="1" customWidth="1"/>
    <col min="10" max="10" width="8.28515625" style="1" customWidth="1"/>
    <col min="11" max="11" width="7.85546875" style="1" customWidth="1"/>
    <col min="12" max="12" width="8.28515625" style="1" customWidth="1"/>
    <col min="13" max="13" width="7" style="1" bestFit="1" customWidth="1"/>
    <col min="14" max="14" width="9.85546875" style="1" customWidth="1"/>
    <col min="15" max="15" width="30.28515625" style="1" customWidth="1"/>
    <col min="16" max="16384" width="9.140625" style="1"/>
  </cols>
  <sheetData>
    <row r="1" spans="1:15" s="2" customFormat="1" ht="18.75" customHeight="1">
      <c r="A1" s="1152" t="s">
        <v>242</v>
      </c>
      <c r="B1" s="1152"/>
      <c r="C1" s="1152"/>
      <c r="D1" s="1152"/>
      <c r="E1" s="1152"/>
      <c r="F1" s="1152"/>
      <c r="G1" s="1152"/>
      <c r="H1" s="1152"/>
      <c r="I1" s="1152"/>
      <c r="J1" s="1152"/>
      <c r="K1" s="1152"/>
      <c r="L1" s="1152"/>
      <c r="M1" s="1152"/>
      <c r="N1" s="1152"/>
      <c r="O1" s="1152"/>
    </row>
    <row r="2" spans="1:15" s="2" customFormat="1" ht="15.75">
      <c r="A2" s="1153" t="s">
        <v>241</v>
      </c>
      <c r="B2" s="1153"/>
      <c r="C2" s="1153"/>
      <c r="D2" s="1153"/>
      <c r="E2" s="1153"/>
      <c r="F2" s="1153"/>
      <c r="G2" s="1153"/>
      <c r="H2" s="1153"/>
      <c r="I2" s="1153"/>
      <c r="J2" s="1153"/>
      <c r="K2" s="1153"/>
      <c r="L2" s="1153"/>
      <c r="M2" s="1153"/>
      <c r="N2" s="1153"/>
      <c r="O2" s="1153"/>
    </row>
    <row r="3" spans="1:15" s="2" customFormat="1" ht="15" customHeight="1">
      <c r="A3" s="1154">
        <v>2021</v>
      </c>
      <c r="B3" s="1154"/>
      <c r="C3" s="1154"/>
      <c r="D3" s="1154"/>
      <c r="E3" s="1154"/>
      <c r="F3" s="1154"/>
      <c r="G3" s="1154"/>
      <c r="H3" s="1154"/>
      <c r="I3" s="1154"/>
      <c r="J3" s="1154"/>
      <c r="K3" s="1154"/>
      <c r="L3" s="1154"/>
      <c r="M3" s="1154"/>
      <c r="N3" s="1154"/>
      <c r="O3" s="1154"/>
    </row>
    <row r="4" spans="1:15" s="2" customFormat="1" ht="15.75">
      <c r="A4" s="1155" t="s">
        <v>51</v>
      </c>
      <c r="B4" s="1155"/>
      <c r="C4" s="1155"/>
      <c r="D4" s="1155"/>
      <c r="E4" s="1155"/>
      <c r="F4" s="1155"/>
      <c r="G4" s="1155"/>
      <c r="H4" s="1155"/>
      <c r="I4" s="1155"/>
      <c r="J4" s="1155"/>
      <c r="K4" s="1155"/>
      <c r="L4" s="1155"/>
      <c r="M4" s="1155"/>
      <c r="N4" s="1155"/>
      <c r="O4" s="1155"/>
    </row>
    <row r="5" spans="1:15" s="2" customFormat="1" ht="15.75">
      <c r="A5" s="377"/>
      <c r="B5" s="377"/>
      <c r="C5" s="377"/>
      <c r="D5" s="377"/>
      <c r="E5" s="377"/>
      <c r="F5" s="377"/>
      <c r="G5" s="377"/>
      <c r="H5" s="377"/>
      <c r="I5" s="377"/>
      <c r="J5" s="377"/>
      <c r="K5" s="377"/>
      <c r="L5" s="377"/>
      <c r="M5" s="377"/>
      <c r="N5" s="377"/>
      <c r="O5" s="377"/>
    </row>
    <row r="6" spans="1:15" ht="15.75">
      <c r="A6" s="374" t="s">
        <v>265</v>
      </c>
      <c r="B6" s="378"/>
      <c r="C6" s="378"/>
      <c r="D6" s="378"/>
      <c r="E6" s="378"/>
      <c r="F6" s="378"/>
      <c r="G6" s="378"/>
      <c r="H6" s="378"/>
      <c r="I6" s="378"/>
      <c r="J6" s="378"/>
      <c r="K6" s="378"/>
      <c r="L6" s="378"/>
      <c r="M6" s="378"/>
      <c r="N6" s="378"/>
      <c r="O6" s="376" t="s">
        <v>264</v>
      </c>
    </row>
    <row r="7" spans="1:15" ht="20.25" customHeight="1" thickBot="1">
      <c r="A7" s="1131" t="s">
        <v>238</v>
      </c>
      <c r="B7" s="1150" t="s">
        <v>237</v>
      </c>
      <c r="C7" s="1150"/>
      <c r="D7" s="1150"/>
      <c r="E7" s="1150"/>
      <c r="F7" s="1150"/>
      <c r="G7" s="1150"/>
      <c r="H7" s="1150"/>
      <c r="I7" s="1150"/>
      <c r="J7" s="1150"/>
      <c r="K7" s="1150"/>
      <c r="L7" s="1150"/>
      <c r="M7" s="1150"/>
      <c r="N7" s="1150"/>
      <c r="O7" s="1138" t="s">
        <v>236</v>
      </c>
    </row>
    <row r="8" spans="1:15" ht="86.25" customHeight="1" thickBot="1">
      <c r="A8" s="1149"/>
      <c r="B8" s="333" t="s">
        <v>722</v>
      </c>
      <c r="C8" s="333" t="s">
        <v>233</v>
      </c>
      <c r="D8" s="333" t="s">
        <v>232</v>
      </c>
      <c r="E8" s="333" t="s">
        <v>231</v>
      </c>
      <c r="F8" s="334" t="s">
        <v>230</v>
      </c>
      <c r="G8" s="334" t="s">
        <v>579</v>
      </c>
      <c r="H8" s="334" t="s">
        <v>723</v>
      </c>
      <c r="I8" s="334" t="s">
        <v>724</v>
      </c>
      <c r="J8" s="334" t="s">
        <v>228</v>
      </c>
      <c r="K8" s="334" t="s">
        <v>227</v>
      </c>
      <c r="L8" s="335" t="s">
        <v>16</v>
      </c>
      <c r="M8" s="334" t="s">
        <v>1083</v>
      </c>
      <c r="N8" s="333" t="s">
        <v>235</v>
      </c>
      <c r="O8" s="1151"/>
    </row>
    <row r="9" spans="1:15" ht="51" customHeight="1">
      <c r="A9" s="1132"/>
      <c r="B9" s="601" t="s">
        <v>691</v>
      </c>
      <c r="C9" s="601" t="s">
        <v>692</v>
      </c>
      <c r="D9" s="601" t="s">
        <v>693</v>
      </c>
      <c r="E9" s="601" t="s">
        <v>694</v>
      </c>
      <c r="F9" s="601" t="s">
        <v>1019</v>
      </c>
      <c r="G9" s="601" t="s">
        <v>695</v>
      </c>
      <c r="H9" s="601" t="s">
        <v>696</v>
      </c>
      <c r="I9" s="601" t="s">
        <v>697</v>
      </c>
      <c r="J9" s="601" t="s">
        <v>698</v>
      </c>
      <c r="K9" s="601" t="s">
        <v>226</v>
      </c>
      <c r="L9" s="601" t="s">
        <v>55</v>
      </c>
      <c r="M9" s="602" t="s">
        <v>699</v>
      </c>
      <c r="N9" s="750" t="s">
        <v>234</v>
      </c>
      <c r="O9" s="1139"/>
    </row>
    <row r="10" spans="1:15" ht="32.25" thickBot="1">
      <c r="A10" s="804" t="s">
        <v>733</v>
      </c>
      <c r="B10" s="751">
        <v>4</v>
      </c>
      <c r="C10" s="751">
        <v>17</v>
      </c>
      <c r="D10" s="751">
        <v>35</v>
      </c>
      <c r="E10" s="751">
        <v>10</v>
      </c>
      <c r="F10" s="751">
        <v>8</v>
      </c>
      <c r="G10" s="751">
        <v>0</v>
      </c>
      <c r="H10" s="751">
        <v>1</v>
      </c>
      <c r="I10" s="751">
        <v>0</v>
      </c>
      <c r="J10" s="751">
        <v>4</v>
      </c>
      <c r="K10" s="751">
        <v>0</v>
      </c>
      <c r="L10" s="752">
        <v>79</v>
      </c>
      <c r="M10" s="751">
        <v>50</v>
      </c>
      <c r="N10" s="752">
        <v>129</v>
      </c>
      <c r="O10" s="904" t="s">
        <v>1095</v>
      </c>
    </row>
    <row r="11" spans="1:15" ht="22.5" customHeight="1" thickBot="1">
      <c r="A11" s="797" t="s">
        <v>233</v>
      </c>
      <c r="B11" s="142">
        <v>3</v>
      </c>
      <c r="C11" s="142">
        <v>71</v>
      </c>
      <c r="D11" s="142">
        <v>74</v>
      </c>
      <c r="E11" s="142">
        <v>23</v>
      </c>
      <c r="F11" s="142">
        <v>16</v>
      </c>
      <c r="G11" s="142">
        <v>0</v>
      </c>
      <c r="H11" s="142">
        <v>0</v>
      </c>
      <c r="I11" s="142">
        <v>0</v>
      </c>
      <c r="J11" s="142">
        <v>3</v>
      </c>
      <c r="K11" s="142">
        <v>0</v>
      </c>
      <c r="L11" s="512">
        <v>190</v>
      </c>
      <c r="M11" s="142">
        <v>203</v>
      </c>
      <c r="N11" s="512">
        <v>393</v>
      </c>
      <c r="O11" s="732" t="s">
        <v>1096</v>
      </c>
    </row>
    <row r="12" spans="1:15" ht="32.25" thickBot="1">
      <c r="A12" s="797" t="s">
        <v>232</v>
      </c>
      <c r="B12" s="142">
        <v>7</v>
      </c>
      <c r="C12" s="142">
        <v>71</v>
      </c>
      <c r="D12" s="142">
        <v>140</v>
      </c>
      <c r="E12" s="142">
        <v>62</v>
      </c>
      <c r="F12" s="142">
        <v>46</v>
      </c>
      <c r="G12" s="142">
        <v>0</v>
      </c>
      <c r="H12" s="142">
        <v>0</v>
      </c>
      <c r="I12" s="142">
        <v>0</v>
      </c>
      <c r="J12" s="142">
        <v>9</v>
      </c>
      <c r="K12" s="142">
        <v>0</v>
      </c>
      <c r="L12" s="512">
        <v>335</v>
      </c>
      <c r="M12" s="142">
        <v>223</v>
      </c>
      <c r="N12" s="512">
        <v>558</v>
      </c>
      <c r="O12" s="733" t="s">
        <v>1097</v>
      </c>
    </row>
    <row r="13" spans="1:15" ht="22.5" customHeight="1" thickBot="1">
      <c r="A13" s="797" t="s">
        <v>231</v>
      </c>
      <c r="B13" s="142">
        <v>2</v>
      </c>
      <c r="C13" s="142">
        <v>30</v>
      </c>
      <c r="D13" s="142">
        <v>58</v>
      </c>
      <c r="E13" s="142">
        <v>56</v>
      </c>
      <c r="F13" s="142">
        <v>19</v>
      </c>
      <c r="G13" s="142">
        <v>0</v>
      </c>
      <c r="H13" s="142">
        <v>0</v>
      </c>
      <c r="I13" s="142">
        <v>0</v>
      </c>
      <c r="J13" s="142">
        <v>9</v>
      </c>
      <c r="K13" s="142">
        <v>0</v>
      </c>
      <c r="L13" s="512">
        <v>174</v>
      </c>
      <c r="M13" s="142">
        <v>354</v>
      </c>
      <c r="N13" s="512">
        <v>528</v>
      </c>
      <c r="O13" s="732" t="s">
        <v>1098</v>
      </c>
    </row>
    <row r="14" spans="1:15" ht="39" thickBot="1">
      <c r="A14" s="805" t="s">
        <v>230</v>
      </c>
      <c r="B14" s="176">
        <v>2</v>
      </c>
      <c r="C14" s="176">
        <v>10</v>
      </c>
      <c r="D14" s="176">
        <v>17</v>
      </c>
      <c r="E14" s="176">
        <v>13</v>
      </c>
      <c r="F14" s="176">
        <v>20</v>
      </c>
      <c r="G14" s="176">
        <v>0</v>
      </c>
      <c r="H14" s="176">
        <v>0</v>
      </c>
      <c r="I14" s="176">
        <v>0</v>
      </c>
      <c r="J14" s="176">
        <v>2</v>
      </c>
      <c r="K14" s="176">
        <v>0</v>
      </c>
      <c r="L14" s="445">
        <v>64</v>
      </c>
      <c r="M14" s="176">
        <v>52</v>
      </c>
      <c r="N14" s="445">
        <v>116</v>
      </c>
      <c r="O14" s="733" t="s">
        <v>1099</v>
      </c>
    </row>
    <row r="15" spans="1:15" ht="32.25" thickBot="1">
      <c r="A15" s="797" t="s">
        <v>229</v>
      </c>
      <c r="B15" s="142">
        <v>0</v>
      </c>
      <c r="C15" s="142">
        <v>0</v>
      </c>
      <c r="D15" s="142">
        <v>0</v>
      </c>
      <c r="E15" s="142">
        <v>0</v>
      </c>
      <c r="F15" s="142">
        <v>0</v>
      </c>
      <c r="G15" s="142">
        <v>0</v>
      </c>
      <c r="H15" s="142">
        <v>0</v>
      </c>
      <c r="I15" s="142">
        <v>0</v>
      </c>
      <c r="J15" s="142">
        <v>0</v>
      </c>
      <c r="K15" s="142">
        <v>0</v>
      </c>
      <c r="L15" s="512">
        <v>0</v>
      </c>
      <c r="M15" s="142">
        <v>0</v>
      </c>
      <c r="N15" s="512">
        <v>0</v>
      </c>
      <c r="O15" s="732" t="s">
        <v>1100</v>
      </c>
    </row>
    <row r="16" spans="1:15" ht="32.25" thickBot="1">
      <c r="A16" s="805" t="s">
        <v>734</v>
      </c>
      <c r="B16" s="176">
        <v>0</v>
      </c>
      <c r="C16" s="176">
        <v>1</v>
      </c>
      <c r="D16" s="176">
        <v>2</v>
      </c>
      <c r="E16" s="176">
        <v>0</v>
      </c>
      <c r="F16" s="176">
        <v>5</v>
      </c>
      <c r="G16" s="176">
        <v>0</v>
      </c>
      <c r="H16" s="176">
        <v>1</v>
      </c>
      <c r="I16" s="176">
        <v>0</v>
      </c>
      <c r="J16" s="176">
        <v>4</v>
      </c>
      <c r="K16" s="176">
        <v>0</v>
      </c>
      <c r="L16" s="445">
        <v>13</v>
      </c>
      <c r="M16" s="176">
        <v>7</v>
      </c>
      <c r="N16" s="445">
        <v>20</v>
      </c>
      <c r="O16" s="733" t="s">
        <v>1101</v>
      </c>
    </row>
    <row r="17" spans="1:15" ht="39" thickBot="1">
      <c r="A17" s="797" t="s">
        <v>735</v>
      </c>
      <c r="B17" s="142">
        <v>0</v>
      </c>
      <c r="C17" s="142">
        <v>6</v>
      </c>
      <c r="D17" s="142">
        <v>3</v>
      </c>
      <c r="E17" s="142">
        <v>3</v>
      </c>
      <c r="F17" s="142">
        <v>4</v>
      </c>
      <c r="G17" s="142">
        <v>0</v>
      </c>
      <c r="H17" s="142">
        <v>0</v>
      </c>
      <c r="I17" s="142">
        <v>0</v>
      </c>
      <c r="J17" s="142">
        <v>6</v>
      </c>
      <c r="K17" s="142">
        <v>0</v>
      </c>
      <c r="L17" s="512">
        <v>22</v>
      </c>
      <c r="M17" s="142">
        <v>27</v>
      </c>
      <c r="N17" s="512">
        <v>49</v>
      </c>
      <c r="O17" s="732" t="s">
        <v>1102</v>
      </c>
    </row>
    <row r="18" spans="1:15" ht="22.5" customHeight="1" thickBot="1">
      <c r="A18" s="805" t="s">
        <v>228</v>
      </c>
      <c r="B18" s="176">
        <v>0</v>
      </c>
      <c r="C18" s="176">
        <v>3</v>
      </c>
      <c r="D18" s="176">
        <v>4</v>
      </c>
      <c r="E18" s="176">
        <v>4</v>
      </c>
      <c r="F18" s="176">
        <v>7</v>
      </c>
      <c r="G18" s="176">
        <v>0</v>
      </c>
      <c r="H18" s="176">
        <v>0</v>
      </c>
      <c r="I18" s="176">
        <v>0</v>
      </c>
      <c r="J18" s="176">
        <v>7</v>
      </c>
      <c r="K18" s="176">
        <v>0</v>
      </c>
      <c r="L18" s="445">
        <v>25</v>
      </c>
      <c r="M18" s="176">
        <v>20</v>
      </c>
      <c r="N18" s="445">
        <v>45</v>
      </c>
      <c r="O18" s="733" t="s">
        <v>1103</v>
      </c>
    </row>
    <row r="19" spans="1:15" ht="31.5" customHeight="1">
      <c r="A19" s="800" t="s">
        <v>227</v>
      </c>
      <c r="B19" s="143">
        <v>0</v>
      </c>
      <c r="C19" s="143">
        <v>0</v>
      </c>
      <c r="D19" s="143">
        <v>0</v>
      </c>
      <c r="E19" s="143">
        <v>0</v>
      </c>
      <c r="F19" s="143">
        <v>0</v>
      </c>
      <c r="G19" s="143">
        <v>0</v>
      </c>
      <c r="H19" s="143">
        <v>0</v>
      </c>
      <c r="I19" s="143">
        <v>0</v>
      </c>
      <c r="J19" s="143">
        <v>0</v>
      </c>
      <c r="K19" s="143">
        <v>0</v>
      </c>
      <c r="L19" s="753">
        <v>0</v>
      </c>
      <c r="M19" s="143">
        <v>0</v>
      </c>
      <c r="N19" s="753">
        <v>0</v>
      </c>
      <c r="O19" s="734" t="s">
        <v>226</v>
      </c>
    </row>
    <row r="20" spans="1:15" ht="22.5" customHeight="1">
      <c r="A20" s="801" t="s">
        <v>16</v>
      </c>
      <c r="B20" s="754">
        <v>18</v>
      </c>
      <c r="C20" s="754">
        <v>209</v>
      </c>
      <c r="D20" s="754">
        <v>333</v>
      </c>
      <c r="E20" s="754">
        <v>171</v>
      </c>
      <c r="F20" s="754">
        <v>125</v>
      </c>
      <c r="G20" s="754">
        <v>0</v>
      </c>
      <c r="H20" s="754">
        <v>2</v>
      </c>
      <c r="I20" s="754">
        <v>0</v>
      </c>
      <c r="J20" s="754">
        <v>44</v>
      </c>
      <c r="K20" s="754">
        <v>0</v>
      </c>
      <c r="L20" s="754">
        <v>902</v>
      </c>
      <c r="M20" s="754">
        <v>936</v>
      </c>
      <c r="N20" s="754">
        <v>1838</v>
      </c>
      <c r="O20" s="304" t="s">
        <v>55</v>
      </c>
    </row>
    <row r="21" spans="1:15" ht="33" customHeight="1">
      <c r="A21" s="802" t="s">
        <v>1104</v>
      </c>
      <c r="B21" s="167">
        <v>0</v>
      </c>
      <c r="C21" s="167">
        <v>8</v>
      </c>
      <c r="D21" s="167">
        <v>11</v>
      </c>
      <c r="E21" s="167">
        <v>6</v>
      </c>
      <c r="F21" s="167">
        <v>2</v>
      </c>
      <c r="G21" s="167">
        <v>0</v>
      </c>
      <c r="H21" s="167">
        <v>0</v>
      </c>
      <c r="I21" s="167">
        <v>0</v>
      </c>
      <c r="J21" s="167">
        <v>0</v>
      </c>
      <c r="K21" s="167">
        <v>0</v>
      </c>
      <c r="L21" s="447">
        <v>27</v>
      </c>
      <c r="M21" s="167">
        <v>96</v>
      </c>
      <c r="N21" s="447">
        <v>123</v>
      </c>
      <c r="O21" s="803" t="s">
        <v>225</v>
      </c>
    </row>
    <row r="22" spans="1:15" ht="22.5" customHeight="1">
      <c r="A22" s="1007" t="s">
        <v>224</v>
      </c>
      <c r="B22" s="1008">
        <f>B20+B21</f>
        <v>18</v>
      </c>
      <c r="C22" s="1008">
        <f t="shared" ref="C22:N22" si="0">C20+C21</f>
        <v>217</v>
      </c>
      <c r="D22" s="1008">
        <f t="shared" si="0"/>
        <v>344</v>
      </c>
      <c r="E22" s="1008">
        <f t="shared" si="0"/>
        <v>177</v>
      </c>
      <c r="F22" s="1008">
        <f t="shared" si="0"/>
        <v>127</v>
      </c>
      <c r="G22" s="1008">
        <f t="shared" si="0"/>
        <v>0</v>
      </c>
      <c r="H22" s="1008">
        <f t="shared" si="0"/>
        <v>2</v>
      </c>
      <c r="I22" s="1008">
        <f t="shared" si="0"/>
        <v>0</v>
      </c>
      <c r="J22" s="1008">
        <f t="shared" si="0"/>
        <v>44</v>
      </c>
      <c r="K22" s="1008">
        <f t="shared" si="0"/>
        <v>0</v>
      </c>
      <c r="L22" s="1008">
        <f t="shared" si="0"/>
        <v>929</v>
      </c>
      <c r="M22" s="1008">
        <f t="shared" si="0"/>
        <v>1032</v>
      </c>
      <c r="N22" s="1008">
        <f t="shared" si="0"/>
        <v>1961</v>
      </c>
      <c r="O22" s="1009" t="s">
        <v>223</v>
      </c>
    </row>
    <row r="23" spans="1:15" s="920" customFormat="1" ht="16.5" customHeight="1">
      <c r="A23" s="921" t="s">
        <v>222</v>
      </c>
      <c r="O23" s="922" t="s">
        <v>1086</v>
      </c>
    </row>
  </sheetData>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O44"/>
  <sheetViews>
    <sheetView rightToLeft="1" view="pageBreakPreview" topLeftCell="A10" zoomScaleNormal="75" zoomScaleSheetLayoutView="100" workbookViewId="0">
      <selection activeCell="B22" sqref="B22:N22"/>
    </sheetView>
  </sheetViews>
  <sheetFormatPr defaultColWidth="9.140625" defaultRowHeight="12.75"/>
  <cols>
    <col min="1" max="1" width="26.28515625" style="1" customWidth="1"/>
    <col min="2" max="2" width="8.5703125" style="1" customWidth="1"/>
    <col min="3" max="3" width="12.42578125" style="1" customWidth="1"/>
    <col min="4" max="4" width="10.140625" style="1" customWidth="1"/>
    <col min="5" max="5" width="6.42578125" style="1" bestFit="1" customWidth="1"/>
    <col min="6" max="6" width="9.7109375" style="1" customWidth="1"/>
    <col min="7" max="7" width="9.28515625" style="1" customWidth="1"/>
    <col min="8" max="8" width="12.28515625" style="1" customWidth="1"/>
    <col min="9" max="9" width="9.5703125" style="1" customWidth="1"/>
    <col min="10" max="10" width="8.28515625" style="1" customWidth="1"/>
    <col min="11" max="11" width="7.85546875" style="1" customWidth="1"/>
    <col min="12" max="12" width="8.28515625" style="1" customWidth="1"/>
    <col min="13" max="13" width="8.140625" style="1" customWidth="1"/>
    <col min="14" max="14" width="9.85546875" style="1" customWidth="1"/>
    <col min="15" max="15" width="30.28515625" style="1" customWidth="1"/>
    <col min="16" max="16384" width="9.140625" style="1"/>
  </cols>
  <sheetData>
    <row r="1" spans="1:15" s="2" customFormat="1" ht="18.75" customHeight="1">
      <c r="A1" s="1152" t="s">
        <v>242</v>
      </c>
      <c r="B1" s="1152"/>
      <c r="C1" s="1152"/>
      <c r="D1" s="1152"/>
      <c r="E1" s="1152"/>
      <c r="F1" s="1152"/>
      <c r="G1" s="1152"/>
      <c r="H1" s="1152"/>
      <c r="I1" s="1152"/>
      <c r="J1" s="1152"/>
      <c r="K1" s="1152"/>
      <c r="L1" s="1152"/>
      <c r="M1" s="1152"/>
      <c r="N1" s="1152"/>
      <c r="O1" s="1152"/>
    </row>
    <row r="2" spans="1:15" s="2" customFormat="1" ht="15.75">
      <c r="A2" s="1153" t="s">
        <v>241</v>
      </c>
      <c r="B2" s="1153"/>
      <c r="C2" s="1153"/>
      <c r="D2" s="1153"/>
      <c r="E2" s="1153"/>
      <c r="F2" s="1153"/>
      <c r="G2" s="1153"/>
      <c r="H2" s="1153"/>
      <c r="I2" s="1153"/>
      <c r="J2" s="1153"/>
      <c r="K2" s="1153"/>
      <c r="L2" s="1153"/>
      <c r="M2" s="1153"/>
      <c r="N2" s="1153"/>
      <c r="O2" s="1153"/>
    </row>
    <row r="3" spans="1:15" s="2" customFormat="1" ht="15" customHeight="1">
      <c r="A3" s="1154">
        <v>2021</v>
      </c>
      <c r="B3" s="1154"/>
      <c r="C3" s="1154"/>
      <c r="D3" s="1154"/>
      <c r="E3" s="1154"/>
      <c r="F3" s="1154"/>
      <c r="G3" s="1154"/>
      <c r="H3" s="1154"/>
      <c r="I3" s="1154"/>
      <c r="J3" s="1154"/>
      <c r="K3" s="1154"/>
      <c r="L3" s="1154"/>
      <c r="M3" s="1154"/>
      <c r="N3" s="1154"/>
      <c r="O3" s="1154"/>
    </row>
    <row r="4" spans="1:15" s="2" customFormat="1" ht="15.75">
      <c r="A4" s="1155" t="s">
        <v>1</v>
      </c>
      <c r="B4" s="1155"/>
      <c r="C4" s="1155"/>
      <c r="D4" s="1155"/>
      <c r="E4" s="1155"/>
      <c r="F4" s="1155"/>
      <c r="G4" s="1155"/>
      <c r="H4" s="1155"/>
      <c r="I4" s="1155"/>
      <c r="J4" s="1155"/>
      <c r="K4" s="1155"/>
      <c r="L4" s="1155"/>
      <c r="M4" s="1155"/>
      <c r="N4" s="1155"/>
      <c r="O4" s="1155"/>
    </row>
    <row r="5" spans="1:15" s="2" customFormat="1" ht="15.75">
      <c r="A5" s="748"/>
      <c r="B5" s="748"/>
      <c r="C5" s="748"/>
      <c r="D5" s="748"/>
      <c r="E5" s="748"/>
      <c r="F5" s="748"/>
      <c r="G5" s="748"/>
      <c r="H5" s="748"/>
      <c r="I5" s="748"/>
      <c r="J5" s="748"/>
      <c r="K5" s="748"/>
      <c r="L5" s="748"/>
      <c r="M5" s="748"/>
      <c r="N5" s="748"/>
      <c r="O5" s="748"/>
    </row>
    <row r="6" spans="1:15" ht="15.75">
      <c r="A6" s="374" t="s">
        <v>268</v>
      </c>
      <c r="B6" s="378"/>
      <c r="C6" s="378"/>
      <c r="D6" s="378"/>
      <c r="E6" s="378"/>
      <c r="F6" s="378"/>
      <c r="G6" s="378"/>
      <c r="H6" s="378"/>
      <c r="I6" s="378"/>
      <c r="J6" s="378"/>
      <c r="K6" s="378"/>
      <c r="L6" s="378"/>
      <c r="M6" s="378"/>
      <c r="N6" s="378"/>
      <c r="O6" s="376" t="s">
        <v>267</v>
      </c>
    </row>
    <row r="7" spans="1:15" ht="20.25" customHeight="1" thickBot="1">
      <c r="A7" s="1131" t="s">
        <v>238</v>
      </c>
      <c r="B7" s="1150" t="s">
        <v>237</v>
      </c>
      <c r="C7" s="1150"/>
      <c r="D7" s="1150"/>
      <c r="E7" s="1150"/>
      <c r="F7" s="1150"/>
      <c r="G7" s="1150"/>
      <c r="H7" s="1150"/>
      <c r="I7" s="1150"/>
      <c r="J7" s="1150"/>
      <c r="K7" s="1150"/>
      <c r="L7" s="1150"/>
      <c r="M7" s="1150"/>
      <c r="N7" s="1150"/>
      <c r="O7" s="1138" t="s">
        <v>236</v>
      </c>
    </row>
    <row r="8" spans="1:15" ht="86.25" customHeight="1" thickBot="1">
      <c r="A8" s="1149"/>
      <c r="B8" s="333" t="s">
        <v>722</v>
      </c>
      <c r="C8" s="333" t="s">
        <v>233</v>
      </c>
      <c r="D8" s="333" t="s">
        <v>232</v>
      </c>
      <c r="E8" s="333" t="s">
        <v>231</v>
      </c>
      <c r="F8" s="334" t="s">
        <v>230</v>
      </c>
      <c r="G8" s="334" t="s">
        <v>579</v>
      </c>
      <c r="H8" s="334" t="s">
        <v>723</v>
      </c>
      <c r="I8" s="334" t="s">
        <v>724</v>
      </c>
      <c r="J8" s="334" t="s">
        <v>228</v>
      </c>
      <c r="K8" s="334" t="s">
        <v>227</v>
      </c>
      <c r="L8" s="335" t="s">
        <v>16</v>
      </c>
      <c r="M8" s="334" t="s">
        <v>1083</v>
      </c>
      <c r="N8" s="333" t="s">
        <v>235</v>
      </c>
      <c r="O8" s="1151"/>
    </row>
    <row r="9" spans="1:15" ht="60.75" customHeight="1">
      <c r="A9" s="1132"/>
      <c r="B9" s="601" t="s">
        <v>691</v>
      </c>
      <c r="C9" s="601" t="s">
        <v>692</v>
      </c>
      <c r="D9" s="601" t="s">
        <v>693</v>
      </c>
      <c r="E9" s="601" t="s">
        <v>694</v>
      </c>
      <c r="F9" s="601" t="s">
        <v>1019</v>
      </c>
      <c r="G9" s="601" t="s">
        <v>695</v>
      </c>
      <c r="H9" s="601" t="s">
        <v>696</v>
      </c>
      <c r="I9" s="601" t="s">
        <v>697</v>
      </c>
      <c r="J9" s="601" t="s">
        <v>698</v>
      </c>
      <c r="K9" s="601" t="s">
        <v>226</v>
      </c>
      <c r="L9" s="601" t="s">
        <v>55</v>
      </c>
      <c r="M9" s="602" t="s">
        <v>699</v>
      </c>
      <c r="N9" s="750" t="s">
        <v>234</v>
      </c>
      <c r="O9" s="1139"/>
    </row>
    <row r="10" spans="1:15" ht="32.25" thickBot="1">
      <c r="A10" s="804" t="s">
        <v>733</v>
      </c>
      <c r="B10" s="751">
        <v>11</v>
      </c>
      <c r="C10" s="751">
        <v>39</v>
      </c>
      <c r="D10" s="751">
        <v>158</v>
      </c>
      <c r="E10" s="751">
        <v>58</v>
      </c>
      <c r="F10" s="751">
        <v>10</v>
      </c>
      <c r="G10" s="751">
        <v>0</v>
      </c>
      <c r="H10" s="751">
        <v>1</v>
      </c>
      <c r="I10" s="751">
        <v>0</v>
      </c>
      <c r="J10" s="751">
        <v>4</v>
      </c>
      <c r="K10" s="751">
        <v>0</v>
      </c>
      <c r="L10" s="752">
        <v>281</v>
      </c>
      <c r="M10" s="751">
        <v>415</v>
      </c>
      <c r="N10" s="752">
        <v>696</v>
      </c>
      <c r="O10" s="808" t="s">
        <v>1095</v>
      </c>
    </row>
    <row r="11" spans="1:15" ht="22.5" customHeight="1" thickBot="1">
      <c r="A11" s="797" t="s">
        <v>233</v>
      </c>
      <c r="B11" s="142">
        <v>4</v>
      </c>
      <c r="C11" s="142">
        <v>89</v>
      </c>
      <c r="D11" s="142">
        <v>107</v>
      </c>
      <c r="E11" s="142">
        <v>33</v>
      </c>
      <c r="F11" s="142">
        <v>16</v>
      </c>
      <c r="G11" s="142">
        <v>0</v>
      </c>
      <c r="H11" s="142">
        <v>0</v>
      </c>
      <c r="I11" s="142">
        <v>0</v>
      </c>
      <c r="J11" s="142">
        <v>3</v>
      </c>
      <c r="K11" s="142">
        <v>0</v>
      </c>
      <c r="L11" s="512">
        <v>252</v>
      </c>
      <c r="M11" s="142">
        <v>282</v>
      </c>
      <c r="N11" s="512">
        <v>534</v>
      </c>
      <c r="O11" s="732" t="s">
        <v>1096</v>
      </c>
    </row>
    <row r="12" spans="1:15" ht="32.25" thickBot="1">
      <c r="A12" s="797" t="s">
        <v>232</v>
      </c>
      <c r="B12" s="142">
        <v>10</v>
      </c>
      <c r="C12" s="142">
        <v>97</v>
      </c>
      <c r="D12" s="142">
        <v>301</v>
      </c>
      <c r="E12" s="142">
        <v>139</v>
      </c>
      <c r="F12" s="142">
        <v>46</v>
      </c>
      <c r="G12" s="142">
        <v>0</v>
      </c>
      <c r="H12" s="142">
        <v>0</v>
      </c>
      <c r="I12" s="142">
        <v>0</v>
      </c>
      <c r="J12" s="142">
        <v>9</v>
      </c>
      <c r="K12" s="142">
        <v>0</v>
      </c>
      <c r="L12" s="512">
        <v>602</v>
      </c>
      <c r="M12" s="142">
        <v>507</v>
      </c>
      <c r="N12" s="512">
        <v>1109</v>
      </c>
      <c r="O12" s="733" t="s">
        <v>1097</v>
      </c>
    </row>
    <row r="13" spans="1:15" ht="22.5" customHeight="1" thickBot="1">
      <c r="A13" s="797" t="s">
        <v>231</v>
      </c>
      <c r="B13" s="142">
        <v>6</v>
      </c>
      <c r="C13" s="142">
        <v>71</v>
      </c>
      <c r="D13" s="142">
        <v>201</v>
      </c>
      <c r="E13" s="142">
        <v>237</v>
      </c>
      <c r="F13" s="142">
        <v>24</v>
      </c>
      <c r="G13" s="142">
        <v>0</v>
      </c>
      <c r="H13" s="142">
        <v>0</v>
      </c>
      <c r="I13" s="142">
        <v>0</v>
      </c>
      <c r="J13" s="142">
        <v>10</v>
      </c>
      <c r="K13" s="142">
        <v>0</v>
      </c>
      <c r="L13" s="512">
        <v>549</v>
      </c>
      <c r="M13" s="142">
        <v>901</v>
      </c>
      <c r="N13" s="512">
        <v>1450</v>
      </c>
      <c r="O13" s="732" t="s">
        <v>1098</v>
      </c>
    </row>
    <row r="14" spans="1:15" ht="39" thickBot="1">
      <c r="A14" s="797" t="s">
        <v>230</v>
      </c>
      <c r="B14" s="142">
        <v>6</v>
      </c>
      <c r="C14" s="142">
        <v>13</v>
      </c>
      <c r="D14" s="142">
        <v>32</v>
      </c>
      <c r="E14" s="142">
        <v>34</v>
      </c>
      <c r="F14" s="142">
        <v>22</v>
      </c>
      <c r="G14" s="142">
        <v>0</v>
      </c>
      <c r="H14" s="142">
        <v>0</v>
      </c>
      <c r="I14" s="142">
        <v>0</v>
      </c>
      <c r="J14" s="142">
        <v>2</v>
      </c>
      <c r="K14" s="142">
        <v>0</v>
      </c>
      <c r="L14" s="512">
        <v>109</v>
      </c>
      <c r="M14" s="142">
        <v>106</v>
      </c>
      <c r="N14" s="512">
        <v>215</v>
      </c>
      <c r="O14" s="733" t="s">
        <v>1099</v>
      </c>
    </row>
    <row r="15" spans="1:15" ht="32.25" thickBot="1">
      <c r="A15" s="797" t="s">
        <v>229</v>
      </c>
      <c r="B15" s="142">
        <v>0</v>
      </c>
      <c r="C15" s="142">
        <v>0</v>
      </c>
      <c r="D15" s="142">
        <v>0</v>
      </c>
      <c r="E15" s="142">
        <v>0</v>
      </c>
      <c r="F15" s="142">
        <v>0</v>
      </c>
      <c r="G15" s="142">
        <v>0</v>
      </c>
      <c r="H15" s="142">
        <v>0</v>
      </c>
      <c r="I15" s="142">
        <v>0</v>
      </c>
      <c r="J15" s="142">
        <v>0</v>
      </c>
      <c r="K15" s="142">
        <v>0</v>
      </c>
      <c r="L15" s="512">
        <v>0</v>
      </c>
      <c r="M15" s="142">
        <v>0</v>
      </c>
      <c r="N15" s="512">
        <v>0</v>
      </c>
      <c r="O15" s="732" t="s">
        <v>1100</v>
      </c>
    </row>
    <row r="16" spans="1:15" ht="32.25" thickBot="1">
      <c r="A16" s="805" t="s">
        <v>734</v>
      </c>
      <c r="B16" s="176">
        <v>0</v>
      </c>
      <c r="C16" s="176">
        <v>1</v>
      </c>
      <c r="D16" s="176">
        <v>2</v>
      </c>
      <c r="E16" s="176">
        <v>0</v>
      </c>
      <c r="F16" s="176">
        <v>5</v>
      </c>
      <c r="G16" s="176">
        <v>0</v>
      </c>
      <c r="H16" s="176">
        <v>1</v>
      </c>
      <c r="I16" s="176">
        <v>0</v>
      </c>
      <c r="J16" s="176">
        <v>4</v>
      </c>
      <c r="K16" s="176">
        <v>0</v>
      </c>
      <c r="L16" s="445">
        <v>13</v>
      </c>
      <c r="M16" s="176">
        <v>7</v>
      </c>
      <c r="N16" s="445">
        <v>20</v>
      </c>
      <c r="O16" s="733" t="s">
        <v>1101</v>
      </c>
    </row>
    <row r="17" spans="1:15" ht="39" thickBot="1">
      <c r="A17" s="797" t="s">
        <v>735</v>
      </c>
      <c r="B17" s="142">
        <v>0</v>
      </c>
      <c r="C17" s="142">
        <v>6</v>
      </c>
      <c r="D17" s="142">
        <v>3</v>
      </c>
      <c r="E17" s="142">
        <v>3</v>
      </c>
      <c r="F17" s="142">
        <v>4</v>
      </c>
      <c r="G17" s="142">
        <v>0</v>
      </c>
      <c r="H17" s="142">
        <v>0</v>
      </c>
      <c r="I17" s="142">
        <v>0</v>
      </c>
      <c r="J17" s="142">
        <v>6</v>
      </c>
      <c r="K17" s="142">
        <v>0</v>
      </c>
      <c r="L17" s="512">
        <v>22</v>
      </c>
      <c r="M17" s="142">
        <v>30</v>
      </c>
      <c r="N17" s="512">
        <v>52</v>
      </c>
      <c r="O17" s="732" t="s">
        <v>1102</v>
      </c>
    </row>
    <row r="18" spans="1:15" ht="22.5" customHeight="1" thickBot="1">
      <c r="A18" s="805" t="s">
        <v>228</v>
      </c>
      <c r="B18" s="176">
        <v>1</v>
      </c>
      <c r="C18" s="176">
        <v>4</v>
      </c>
      <c r="D18" s="176">
        <v>5</v>
      </c>
      <c r="E18" s="176">
        <v>18</v>
      </c>
      <c r="F18" s="176">
        <v>7</v>
      </c>
      <c r="G18" s="176">
        <v>0</v>
      </c>
      <c r="H18" s="176">
        <v>0</v>
      </c>
      <c r="I18" s="176">
        <v>0</v>
      </c>
      <c r="J18" s="176">
        <v>7</v>
      </c>
      <c r="K18" s="176">
        <v>0</v>
      </c>
      <c r="L18" s="445">
        <v>42</v>
      </c>
      <c r="M18" s="176">
        <v>46</v>
      </c>
      <c r="N18" s="445">
        <v>88</v>
      </c>
      <c r="O18" s="733" t="s">
        <v>1103</v>
      </c>
    </row>
    <row r="19" spans="1:15" ht="31.5" customHeight="1">
      <c r="A19" s="800" t="s">
        <v>227</v>
      </c>
      <c r="B19" s="167">
        <v>0</v>
      </c>
      <c r="C19" s="167">
        <v>0</v>
      </c>
      <c r="D19" s="167">
        <v>0</v>
      </c>
      <c r="E19" s="167">
        <v>0</v>
      </c>
      <c r="F19" s="167">
        <v>0</v>
      </c>
      <c r="G19" s="167">
        <v>0</v>
      </c>
      <c r="H19" s="167">
        <v>0</v>
      </c>
      <c r="I19" s="167">
        <v>0</v>
      </c>
      <c r="J19" s="167">
        <v>0</v>
      </c>
      <c r="K19" s="167">
        <v>0</v>
      </c>
      <c r="L19" s="496">
        <v>0</v>
      </c>
      <c r="M19" s="474">
        <v>0</v>
      </c>
      <c r="N19" s="496">
        <v>0</v>
      </c>
      <c r="O19" s="734" t="s">
        <v>226</v>
      </c>
    </row>
    <row r="20" spans="1:15" ht="20.25" customHeight="1">
      <c r="A20" s="801" t="s">
        <v>16</v>
      </c>
      <c r="B20" s="755">
        <v>38</v>
      </c>
      <c r="C20" s="755">
        <v>320</v>
      </c>
      <c r="D20" s="755">
        <v>809</v>
      </c>
      <c r="E20" s="755">
        <v>522</v>
      </c>
      <c r="F20" s="755">
        <v>134</v>
      </c>
      <c r="G20" s="755">
        <v>0</v>
      </c>
      <c r="H20" s="755">
        <v>2</v>
      </c>
      <c r="I20" s="755">
        <v>0</v>
      </c>
      <c r="J20" s="755">
        <v>45</v>
      </c>
      <c r="K20" s="755">
        <v>0</v>
      </c>
      <c r="L20" s="755">
        <v>1870</v>
      </c>
      <c r="M20" s="755">
        <v>2294</v>
      </c>
      <c r="N20" s="755">
        <v>4164</v>
      </c>
      <c r="O20" s="756" t="s">
        <v>55</v>
      </c>
    </row>
    <row r="21" spans="1:15" ht="33" customHeight="1">
      <c r="A21" s="802" t="s">
        <v>1104</v>
      </c>
      <c r="B21" s="806">
        <v>1</v>
      </c>
      <c r="C21" s="806">
        <v>16</v>
      </c>
      <c r="D21" s="806">
        <v>22</v>
      </c>
      <c r="E21" s="806">
        <v>22</v>
      </c>
      <c r="F21" s="806">
        <v>3</v>
      </c>
      <c r="G21" s="806">
        <v>0</v>
      </c>
      <c r="H21" s="806">
        <v>0</v>
      </c>
      <c r="I21" s="806">
        <v>0</v>
      </c>
      <c r="J21" s="806">
        <v>0</v>
      </c>
      <c r="K21" s="806">
        <v>0</v>
      </c>
      <c r="L21" s="807">
        <v>64</v>
      </c>
      <c r="M21" s="806">
        <v>162</v>
      </c>
      <c r="N21" s="807">
        <v>226</v>
      </c>
      <c r="O21" s="803" t="s">
        <v>225</v>
      </c>
    </row>
    <row r="22" spans="1:15" ht="22.5" customHeight="1">
      <c r="A22" s="998" t="s">
        <v>224</v>
      </c>
      <c r="B22" s="995">
        <f t="shared" ref="B22:N22" si="0">B20+B21</f>
        <v>39</v>
      </c>
      <c r="C22" s="995">
        <f t="shared" si="0"/>
        <v>336</v>
      </c>
      <c r="D22" s="995">
        <f t="shared" si="0"/>
        <v>831</v>
      </c>
      <c r="E22" s="995">
        <f t="shared" si="0"/>
        <v>544</v>
      </c>
      <c r="F22" s="995">
        <f t="shared" si="0"/>
        <v>137</v>
      </c>
      <c r="G22" s="995">
        <f t="shared" si="0"/>
        <v>0</v>
      </c>
      <c r="H22" s="995">
        <f t="shared" si="0"/>
        <v>2</v>
      </c>
      <c r="I22" s="995">
        <f t="shared" si="0"/>
        <v>0</v>
      </c>
      <c r="J22" s="995">
        <f t="shared" si="0"/>
        <v>45</v>
      </c>
      <c r="K22" s="995">
        <f t="shared" si="0"/>
        <v>0</v>
      </c>
      <c r="L22" s="995">
        <f t="shared" si="0"/>
        <v>1934</v>
      </c>
      <c r="M22" s="995">
        <f t="shared" si="0"/>
        <v>2456</v>
      </c>
      <c r="N22" s="995">
        <f t="shared" si="0"/>
        <v>4390</v>
      </c>
      <c r="O22" s="999" t="s">
        <v>223</v>
      </c>
    </row>
    <row r="23" spans="1:15" s="920" customFormat="1" ht="16.5" customHeight="1">
      <c r="A23" s="921" t="s">
        <v>222</v>
      </c>
      <c r="O23" s="922" t="s">
        <v>1086</v>
      </c>
    </row>
    <row r="27" spans="1:15">
      <c r="A27" s="1" t="s">
        <v>245</v>
      </c>
      <c r="B27" s="1" t="s">
        <v>218</v>
      </c>
      <c r="C27" s="1" t="s">
        <v>217</v>
      </c>
    </row>
    <row r="28" spans="1:15">
      <c r="A28" s="1" t="s">
        <v>253</v>
      </c>
      <c r="B28" s="94">
        <f>N13</f>
        <v>1450</v>
      </c>
      <c r="C28" s="94">
        <f>E22</f>
        <v>544</v>
      </c>
    </row>
    <row r="29" spans="1:15">
      <c r="A29" s="1" t="s">
        <v>248</v>
      </c>
      <c r="B29" s="94">
        <f>N18</f>
        <v>88</v>
      </c>
      <c r="C29" s="94">
        <f>J22</f>
        <v>45</v>
      </c>
    </row>
    <row r="30" spans="1:15">
      <c r="A30" s="1" t="s">
        <v>252</v>
      </c>
      <c r="B30" s="94">
        <f>N14</f>
        <v>215</v>
      </c>
      <c r="C30" s="94">
        <f>F22</f>
        <v>137</v>
      </c>
    </row>
    <row r="31" spans="1:15">
      <c r="A31" s="1" t="s">
        <v>255</v>
      </c>
      <c r="B31" s="94">
        <f>N11</f>
        <v>534</v>
      </c>
      <c r="C31" s="94">
        <f>C22</f>
        <v>336</v>
      </c>
    </row>
    <row r="32" spans="1:15">
      <c r="A32" s="1" t="s">
        <v>254</v>
      </c>
      <c r="B32" s="94">
        <f>N12</f>
        <v>1109</v>
      </c>
      <c r="C32" s="94">
        <f>D22</f>
        <v>831</v>
      </c>
    </row>
    <row r="33" spans="1:4">
      <c r="A33" s="1" t="s">
        <v>725</v>
      </c>
      <c r="B33" s="94">
        <f>N10</f>
        <v>696</v>
      </c>
      <c r="C33" s="94">
        <f>B22</f>
        <v>39</v>
      </c>
    </row>
    <row r="34" spans="1:4">
      <c r="A34" s="1" t="s">
        <v>246</v>
      </c>
      <c r="B34" s="94">
        <f>N21</f>
        <v>226</v>
      </c>
      <c r="C34" s="94">
        <f>M22</f>
        <v>2456</v>
      </c>
    </row>
    <row r="35" spans="1:4">
      <c r="A35" s="1" t="s">
        <v>716</v>
      </c>
      <c r="B35" s="94">
        <f>B44</f>
        <v>72</v>
      </c>
      <c r="C35" s="94">
        <f>C44</f>
        <v>2</v>
      </c>
    </row>
    <row r="36" spans="1:4">
      <c r="B36" s="94">
        <f>SUM(B28:B35)</f>
        <v>4390</v>
      </c>
      <c r="C36" s="94">
        <f>SUM(C28:C35)</f>
        <v>4390</v>
      </c>
      <c r="D36" s="1">
        <f>SUM(B36:C36)</f>
        <v>8780</v>
      </c>
    </row>
    <row r="40" spans="1:4">
      <c r="A40" s="1" t="s">
        <v>250</v>
      </c>
      <c r="B40" s="1">
        <f>N16</f>
        <v>20</v>
      </c>
      <c r="C40" s="1">
        <f>H22</f>
        <v>2</v>
      </c>
    </row>
    <row r="41" spans="1:4">
      <c r="A41" s="1" t="s">
        <v>249</v>
      </c>
      <c r="B41" s="1">
        <f>N17</f>
        <v>52</v>
      </c>
      <c r="C41" s="1">
        <f>I22</f>
        <v>0</v>
      </c>
    </row>
    <row r="42" spans="1:4">
      <c r="A42" s="1" t="s">
        <v>251</v>
      </c>
      <c r="B42" s="1">
        <f>N15</f>
        <v>0</v>
      </c>
      <c r="C42" s="1">
        <f>G22</f>
        <v>0</v>
      </c>
    </row>
    <row r="43" spans="1:4">
      <c r="A43" s="1" t="s">
        <v>247</v>
      </c>
      <c r="B43" s="1">
        <f>N19</f>
        <v>0</v>
      </c>
      <c r="C43" s="1">
        <f>K22</f>
        <v>0</v>
      </c>
    </row>
    <row r="44" spans="1:4">
      <c r="B44" s="1">
        <f>SUM(B40:B43)</f>
        <v>72</v>
      </c>
      <c r="C44" s="1">
        <f>SUM(C40:C43)</f>
        <v>2</v>
      </c>
    </row>
  </sheetData>
  <sortState ref="A44:C54">
    <sortCondition descending="1" ref="B44"/>
  </sortState>
  <mergeCells count="7">
    <mergeCell ref="A7:A9"/>
    <mergeCell ref="B7:N7"/>
    <mergeCell ref="O7:O9"/>
    <mergeCell ref="A1:O1"/>
    <mergeCell ref="A2:O2"/>
    <mergeCell ref="A3:O3"/>
    <mergeCell ref="A4:O4"/>
  </mergeCells>
  <printOptions horizontalCentered="1" verticalCentered="1"/>
  <pageMargins left="0" right="0" top="0" bottom="0" header="0" footer="0"/>
  <pageSetup paperSize="9" scale="75" orientation="landscape" r:id="rId1"/>
  <headerFooter alignWithMargins="0"/>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M34"/>
  <sheetViews>
    <sheetView rightToLeft="1" view="pageBreakPreview" zoomScaleNormal="100" zoomScaleSheetLayoutView="100" workbookViewId="0">
      <selection activeCell="Q13" sqref="Q13"/>
    </sheetView>
  </sheetViews>
  <sheetFormatPr defaultColWidth="9.140625" defaultRowHeight="12.75"/>
  <cols>
    <col min="1" max="16384" width="9.140625" style="1"/>
  </cols>
  <sheetData>
    <row r="1" ht="36.75" customHeight="1"/>
    <row r="34" spans="1:13" ht="15.75">
      <c r="A34" s="1070" t="s">
        <v>258</v>
      </c>
      <c r="B34" s="1070"/>
      <c r="C34" s="1070"/>
      <c r="D34" s="1070"/>
      <c r="E34" s="1070"/>
      <c r="F34" s="1070"/>
      <c r="G34" s="1070"/>
      <c r="H34" s="1070"/>
      <c r="I34" s="1070"/>
      <c r="J34" s="1070"/>
      <c r="K34" s="1070"/>
      <c r="L34" s="1070"/>
      <c r="M34" s="1070"/>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85"/>
  <sheetViews>
    <sheetView rightToLeft="1" view="pageBreakPreview" zoomScaleNormal="100" zoomScaleSheetLayoutView="100" workbookViewId="0">
      <selection activeCell="A22" sqref="A22:XFD22"/>
    </sheetView>
  </sheetViews>
  <sheetFormatPr defaultColWidth="9.140625" defaultRowHeight="12.75"/>
  <cols>
    <col min="1" max="1" width="40.7109375" style="5" customWidth="1"/>
    <col min="2" max="3" width="9.140625" style="645"/>
    <col min="4" max="4" width="41.7109375" style="5" customWidth="1"/>
    <col min="5" max="16384" width="9.140625" style="5"/>
  </cols>
  <sheetData>
    <row r="1" spans="1:4" ht="31.5" customHeight="1">
      <c r="A1" s="966" t="s">
        <v>1088</v>
      </c>
      <c r="B1" s="962"/>
      <c r="C1" s="962"/>
      <c r="D1" s="961" t="s">
        <v>1089</v>
      </c>
    </row>
    <row r="2" spans="1:4" ht="7.5" customHeight="1">
      <c r="A2" s="687"/>
      <c r="B2" s="686"/>
    </row>
    <row r="3" spans="1:4" ht="45.75" customHeight="1">
      <c r="A3" s="673" t="s">
        <v>856</v>
      </c>
      <c r="B3" s="674" t="s">
        <v>855</v>
      </c>
      <c r="C3" s="674" t="s">
        <v>851</v>
      </c>
      <c r="D3" s="673" t="s">
        <v>854</v>
      </c>
    </row>
    <row r="4" spans="1:4" ht="20.25" customHeight="1">
      <c r="A4" s="685"/>
      <c r="B4" s="684"/>
      <c r="C4" s="684"/>
      <c r="D4" s="683"/>
    </row>
    <row r="5" spans="1:4" s="648" customFormat="1" ht="30.75" customHeight="1">
      <c r="A5" s="656" t="s">
        <v>1309</v>
      </c>
      <c r="B5" s="654">
        <v>1</v>
      </c>
      <c r="C5" s="654">
        <v>2</v>
      </c>
      <c r="D5" s="682" t="s">
        <v>1310</v>
      </c>
    </row>
    <row r="6" spans="1:4" s="648" customFormat="1" ht="24">
      <c r="A6" s="656" t="s">
        <v>1311</v>
      </c>
      <c r="B6" s="654">
        <v>2</v>
      </c>
      <c r="C6" s="654">
        <v>5</v>
      </c>
      <c r="D6" s="682" t="s">
        <v>1312</v>
      </c>
    </row>
    <row r="7" spans="1:4" s="648" customFormat="1" ht="25.5">
      <c r="A7" s="656" t="s">
        <v>1313</v>
      </c>
      <c r="B7" s="654">
        <v>3</v>
      </c>
      <c r="C7" s="654">
        <v>7</v>
      </c>
      <c r="D7" s="682" t="s">
        <v>1278</v>
      </c>
    </row>
    <row r="8" spans="1:4" s="648" customFormat="1" ht="16.5" customHeight="1">
      <c r="A8" s="656" t="s">
        <v>1314</v>
      </c>
      <c r="B8" s="654">
        <v>4</v>
      </c>
      <c r="C8" s="654">
        <v>9</v>
      </c>
      <c r="D8" s="682" t="s">
        <v>1315</v>
      </c>
    </row>
    <row r="9" spans="1:4" s="648" customFormat="1" ht="36">
      <c r="A9" s="656" t="s">
        <v>1285</v>
      </c>
      <c r="B9" s="654">
        <v>5</v>
      </c>
      <c r="C9" s="654">
        <v>11</v>
      </c>
      <c r="D9" s="682" t="s">
        <v>1286</v>
      </c>
    </row>
    <row r="10" spans="1:4" s="648" customFormat="1">
      <c r="A10" s="656" t="s">
        <v>1287</v>
      </c>
      <c r="B10" s="654">
        <v>6</v>
      </c>
      <c r="C10" s="654">
        <v>14</v>
      </c>
      <c r="D10" s="682" t="s">
        <v>1288</v>
      </c>
    </row>
    <row r="11" spans="1:4" s="648" customFormat="1" ht="25.5">
      <c r="A11" s="656" t="s">
        <v>1289</v>
      </c>
      <c r="B11" s="654">
        <v>7</v>
      </c>
      <c r="C11" s="654">
        <v>35</v>
      </c>
      <c r="D11" s="682" t="s">
        <v>1290</v>
      </c>
    </row>
    <row r="12" spans="1:4" s="648" customFormat="1" ht="24">
      <c r="A12" s="656" t="s">
        <v>1291</v>
      </c>
      <c r="B12" s="654">
        <v>8</v>
      </c>
      <c r="C12" s="654">
        <v>39</v>
      </c>
      <c r="D12" s="682" t="s">
        <v>1292</v>
      </c>
    </row>
    <row r="13" spans="1:4" s="648" customFormat="1" ht="25.5">
      <c r="A13" s="656" t="s">
        <v>1293</v>
      </c>
      <c r="B13" s="654">
        <v>9</v>
      </c>
      <c r="C13" s="654">
        <v>45</v>
      </c>
      <c r="D13" s="682" t="s">
        <v>1168</v>
      </c>
    </row>
    <row r="14" spans="1:4" s="648" customFormat="1">
      <c r="A14" s="656" t="s">
        <v>1316</v>
      </c>
      <c r="B14" s="654">
        <v>10</v>
      </c>
      <c r="C14" s="654">
        <v>50</v>
      </c>
      <c r="D14" s="682" t="s">
        <v>1317</v>
      </c>
    </row>
    <row r="15" spans="1:4" s="648" customFormat="1" ht="36">
      <c r="A15" s="656" t="s">
        <v>1294</v>
      </c>
      <c r="B15" s="654">
        <v>11</v>
      </c>
      <c r="C15" s="654">
        <v>52</v>
      </c>
      <c r="D15" s="682" t="s">
        <v>1295</v>
      </c>
    </row>
    <row r="16" spans="1:4" s="648" customFormat="1" ht="24">
      <c r="A16" s="656" t="s">
        <v>1296</v>
      </c>
      <c r="B16" s="654">
        <v>12</v>
      </c>
      <c r="C16" s="654">
        <v>54</v>
      </c>
      <c r="D16" s="682" t="s">
        <v>1297</v>
      </c>
    </row>
    <row r="17" spans="1:4" s="648" customFormat="1">
      <c r="A17" s="656" t="s">
        <v>1298</v>
      </c>
      <c r="B17" s="654">
        <v>13</v>
      </c>
      <c r="C17" s="654">
        <v>56</v>
      </c>
      <c r="D17" s="682" t="s">
        <v>1299</v>
      </c>
    </row>
    <row r="18" spans="1:4" s="648" customFormat="1">
      <c r="A18" s="656" t="s">
        <v>1300</v>
      </c>
      <c r="B18" s="654">
        <v>14</v>
      </c>
      <c r="C18" s="654">
        <v>57</v>
      </c>
      <c r="D18" s="682" t="s">
        <v>1301</v>
      </c>
    </row>
    <row r="19" spans="1:4" s="648" customFormat="1" ht="24">
      <c r="A19" s="656" t="s">
        <v>1225</v>
      </c>
      <c r="B19" s="654">
        <v>15</v>
      </c>
      <c r="C19" s="654">
        <v>84</v>
      </c>
      <c r="D19" s="682" t="s">
        <v>1302</v>
      </c>
    </row>
    <row r="20" spans="1:4" s="648" customFormat="1" ht="25.5">
      <c r="A20" s="656" t="s">
        <v>1303</v>
      </c>
      <c r="B20" s="654">
        <v>16</v>
      </c>
      <c r="C20" s="654">
        <v>89</v>
      </c>
      <c r="D20" s="682" t="s">
        <v>1304</v>
      </c>
    </row>
    <row r="21" spans="1:4" s="648" customFormat="1" ht="24">
      <c r="A21" s="656" t="s">
        <v>1305</v>
      </c>
      <c r="B21" s="654">
        <v>17</v>
      </c>
      <c r="C21" s="654">
        <v>96</v>
      </c>
      <c r="D21" s="682" t="s">
        <v>1306</v>
      </c>
    </row>
    <row r="22" spans="1:4" s="648" customFormat="1" ht="36">
      <c r="A22" s="656" t="s">
        <v>1247</v>
      </c>
      <c r="B22" s="654">
        <v>18</v>
      </c>
      <c r="C22" s="654">
        <v>98</v>
      </c>
      <c r="D22" s="682" t="s">
        <v>1307</v>
      </c>
    </row>
    <row r="23" spans="1:4" s="648" customFormat="1" ht="36">
      <c r="A23" s="656" t="s">
        <v>1249</v>
      </c>
      <c r="B23" s="654">
        <v>19</v>
      </c>
      <c r="C23" s="654">
        <v>100</v>
      </c>
      <c r="D23" s="682" t="s">
        <v>1308</v>
      </c>
    </row>
    <row r="24" spans="1:4" s="648" customFormat="1" ht="25.5">
      <c r="A24" s="656" t="s">
        <v>1251</v>
      </c>
      <c r="B24" s="654">
        <v>20</v>
      </c>
      <c r="C24" s="654">
        <v>102</v>
      </c>
      <c r="D24" s="682" t="s">
        <v>1252</v>
      </c>
    </row>
    <row r="25" spans="1:4" s="648" customFormat="1" ht="25.5">
      <c r="A25" s="656" t="s">
        <v>1253</v>
      </c>
      <c r="B25" s="654">
        <v>21</v>
      </c>
      <c r="C25" s="654">
        <v>104</v>
      </c>
      <c r="D25" s="682" t="s">
        <v>1254</v>
      </c>
    </row>
    <row r="26" spans="1:4" s="648" customFormat="1" ht="25.5">
      <c r="A26" s="656" t="s">
        <v>1255</v>
      </c>
      <c r="B26" s="654">
        <v>22</v>
      </c>
      <c r="C26" s="654">
        <v>106</v>
      </c>
      <c r="D26" s="682" t="s">
        <v>1256</v>
      </c>
    </row>
    <row r="27" spans="1:4" s="648" customFormat="1" ht="25.5">
      <c r="A27" s="656" t="s">
        <v>1257</v>
      </c>
      <c r="B27" s="654">
        <v>23</v>
      </c>
      <c r="C27" s="654">
        <v>108</v>
      </c>
      <c r="D27" s="682" t="s">
        <v>1258</v>
      </c>
    </row>
    <row r="28" spans="1:4" s="648" customFormat="1" ht="25.5">
      <c r="A28" s="652" t="s">
        <v>1265</v>
      </c>
      <c r="B28" s="650">
        <v>24</v>
      </c>
      <c r="C28" s="650">
        <v>113</v>
      </c>
      <c r="D28" s="681" t="s">
        <v>1266</v>
      </c>
    </row>
    <row r="55" spans="1:1">
      <c r="A55" s="5" t="s">
        <v>1179</v>
      </c>
    </row>
    <row r="56" spans="1:1">
      <c r="A56" s="5" t="s">
        <v>1181</v>
      </c>
    </row>
    <row r="57" spans="1:1" ht="25.5">
      <c r="A57" s="680" t="s">
        <v>1183</v>
      </c>
    </row>
    <row r="84" spans="1:4" ht="13.5" thickBot="1">
      <c r="A84" s="679"/>
      <c r="B84" s="678"/>
      <c r="C84" s="678"/>
      <c r="D84" s="677"/>
    </row>
    <row r="85" spans="1:4" ht="13.5" thickTop="1"/>
  </sheetData>
  <hyperlinks>
    <hyperlink ref="A5:D5" location="'GR-1'!A1" display="'GR-1'!A1"/>
    <hyperlink ref="A6:D6" location="'GR-2'!A1" display="'GR-2'!A1"/>
    <hyperlink ref="A7:D7" location="'GR-3'!A1" display="معدلات الزواج والطلاق الخام (2000 - 2009)"/>
    <hyperlink ref="A8:D8" location="'GR-4'!A1" display="معدل الزواج العام (2000 - 2009)"/>
    <hyperlink ref="A9:D9" location="'GR-5'!A1" display="عقود الزواج حسب جنسية الزوج والزوجة ومكان إقامة الزوج (2009)"/>
    <hyperlink ref="A10:D10" location="'GR-6'!A1" display="عقود الزواج المسجلة حسب جنسية الزوج (2009)"/>
    <hyperlink ref="A11:D11" location="'GR-7'!A1" display="عقود الزواج المسجلة حسب الحالة التعليمية للزوجة و الزوج (2009)"/>
    <hyperlink ref="A12:D12" location="'GR-8 '!Print_Area" display="عقود الزواج المسجلة حسب مهنة الزوج والزوجة (2010)"/>
    <hyperlink ref="A14:D14" location="'GR-10'!Print_Area" display="معدل الطلاق العام (2001 - 2010)"/>
    <hyperlink ref="A15:D15" location="'GR11'!Print_Area" display="إشهادات الطلاق حسب جنسية الزوج والزوجة ومكان إقامة الزوج (2010)"/>
    <hyperlink ref="A16:D16" location="'GR12'!Print_Area" display="أشهادات الطلاق حسب جنسية الزوج والشهر (2010)"/>
    <hyperlink ref="A17:D17" location="'GR13'!Print_Area" display="أشهادات الطلاق حسب نوع الطلاق (2010) ) (قطريون)"/>
    <hyperlink ref="A18:D18" location="'GR14'!Print_Area" display="أشهادات الطلاق حسب جنسية الزوج (2010)"/>
    <hyperlink ref="A19:D19" location="'GR15'!Print_Area" display="أشهادات الطلاق حسب جنسية الزوجة والزوج (2010)"/>
    <hyperlink ref="A20:D20" location="'GR16'!Print_Area" display="أشهادات الطلاق حسب الحالة التعليمية للزوجة والزوج (2010)"/>
    <hyperlink ref="A21:D21" location="'GR17'!Print_Area" display="أشهادات الطلاق حسب مهنة الزوجة والزوج (2010)"/>
    <hyperlink ref="A22:D22" location="'GR18'!Print_Area" display="إشهادات الطلاق للقطريين حسب صلة القرابة وفئة عمر الزوج والزوجة (القرابة من الدرجة الأولى) (2010)"/>
    <hyperlink ref="A23:D23" location="'GR19'!Print_Area" display="إشهادات الطلاق للقطريين حسب صلة القرابة وفئة عمر الزوج والزوجة (القرابة من الدرجة الثانية) (2010)"/>
    <hyperlink ref="A24:D24" location="'GR20'!Print_Area" display="إشهادات الطلاق للقطريين حسب صلة القرابة وفئة عمر الزوج والزوجة (لا توجد صلة قرابة) (2010)"/>
    <hyperlink ref="A25:D25" location="'GR21'!Print_Area" display="عدد الأبناء للمطلقة حسب فئة عمرالزوج والزوجة (قطريات) (2010)"/>
    <hyperlink ref="A26:D26" location="'GR22'!Print_Area" display="عدد الأبناء للمطلقة حسب فئة عمرالزوج والزوجة (غير قطريات) (2010)"/>
    <hyperlink ref="A27:D27" location="'GR23'!Print_Area" display="عدد الأبناء للمطلقة حسب فئة عمرالزوج والزوجة (المجموع) (2010)"/>
    <hyperlink ref="A13:D13" location="'GR9'!Print_Area" display="عقود الزواج حسب عدد أبناء الزوجة وجنسية الزوج والزوجة (2010)"/>
    <hyperlink ref="A28:D28" location="'GR24'!A1" display="إشهادات الطلاق حسب عدد أبناء الزوجة وجنسية الزوج والزوجة (2010)"/>
    <hyperlink ref="D5" r:id="rId1" location="'GR-1'!A1" display="Bulletin_Marriages_Divorces_DB_2013.xlsx - 'GR-1'!A1"/>
    <hyperlink ref="D6" r:id="rId2" location="'GR-2'!A1" display="Bulletin_Marriages_Divorces_DB_2013.xlsx - 'GR-2'!A1"/>
    <hyperlink ref="D7" r:id="rId3" location="'GR-3'!A1" display="Bulletin_Marriages_Divorces_DB_2013.xlsx - 'GR-3'!A1"/>
    <hyperlink ref="D8" r:id="rId4" location="'GR-4'!A1" display="Bulletin_Marriages_Divorces_DB_2013.xlsx - 'GR-4'!A1"/>
    <hyperlink ref="D9" r:id="rId5" location="'GR-5'!A1" display="Bulletin_Marriages_Divorces_DB_2013.xlsx - 'GR-5'!A1"/>
    <hyperlink ref="D10" r:id="rId6" location="'GR-6'!A1" display="Bulletin_Marriages_Divorces_DB_2013.xlsx - 'GR-6'!A1"/>
    <hyperlink ref="D11" r:id="rId7" location="'GR-7'!A1" display="Bulletin_Marriages_Divorces_DB_2013.xlsx - 'GR-7'!A1"/>
    <hyperlink ref="D12" r:id="rId8" location="'GR-8 '!Print_Area" display="Bulletin_Marriages_Divorces_DB_2013.xlsx - 'GR-8 '!Print_Area"/>
    <hyperlink ref="D13" r:id="rId9" location="'GR9'!Print_Area" display="Bulletin_Marriages_Divorces_DB_2013.xlsx - 'GR9'!Print_Area"/>
    <hyperlink ref="D14" r:id="rId10" location="'GR-10'!Print_Area" display="Bulletin_Marriages_Divorces_DB_2013.xlsx - 'GR-10'!Print_Area"/>
    <hyperlink ref="D15" r:id="rId11" location="'GR11'!Print_Area" display="Bulletin_Marriages_Divorces_DB_2013.xlsx - 'GR11'!Print_Area"/>
    <hyperlink ref="D16" r:id="rId12" location="'GR12'!Print_Area" display="Bulletin_Marriages_Divorces_DB_2013.xlsx - 'GR12'!Print_Area"/>
    <hyperlink ref="D17" r:id="rId13" location="'GR13'!Print_Area" display="Bulletin_Marriages_Divorces_DB_2013.xlsx - 'GR13'!Print_Area"/>
    <hyperlink ref="D18" r:id="rId14" location="'GR14'!Print_Area" display="Bulletin_Marriages_Divorces_DB_2013.xlsx - 'GR14'!Print_Area"/>
    <hyperlink ref="D19" r:id="rId15" location="'GR15'!Print_Area" display="Bulletin_Marriages_Divorces_DB_2013.xlsx - 'GR15'!Print_Area"/>
    <hyperlink ref="D20" r:id="rId16" location="'GR16'!Print_Area" display="Bulletin_Marriages_Divorces_DB_2013.xlsx - 'GR16'!Print_Area"/>
    <hyperlink ref="D21" r:id="rId17" location="'GR17'!Print_Area" display="Bulletin_Marriages_Divorces_DB_2013.xlsx - 'GR17'!Print_Area"/>
    <hyperlink ref="D22" r:id="rId18" location="'GR18'!Print_Area" display="Bulletin_Marriages_Divorces_DB_2013.xlsx - 'GR18'!Print_Area"/>
    <hyperlink ref="D23" r:id="rId19" location="'GR19'!Print_Area" display="Bulletin_Marriages_Divorces_DB_2013.xlsx - 'GR19'!Print_Area"/>
    <hyperlink ref="D24" r:id="rId20" location="'GR20'!Print_Area" display="Bulletin_Marriages_Divorces_DB_2013.xlsx - 'GR20'!Print_Area"/>
    <hyperlink ref="D25" r:id="rId21" location="'GR21'!Print_Area" display="Bulletin_Marriages_Divorces_DB_2013.xlsx - 'GR21'!Print_Area"/>
    <hyperlink ref="D26" r:id="rId22" location="'GR22'!Print_Area" display="Bulletin_Marriages_Divorces_DB_2013.xlsx - 'GR22'!Print_Area"/>
    <hyperlink ref="D27" r:id="rId23" location="'GR23'!Print_Area" display="Bulletin_Marriages_Divorces_DB_2013.xlsx - 'GR23'!Print_Area"/>
    <hyperlink ref="D28" r:id="rId24" location="'GR24'!A1" display="Bulletin_Marriages_Divorces_DB_2013.xlsx - 'GR24'!A1"/>
  </hyperlinks>
  <printOptions horizontalCentered="1"/>
  <pageMargins left="0" right="0" top="0.78740157480314965" bottom="0.39370078740157483" header="0.51181102362204722" footer="0.51181102362204722"/>
  <pageSetup paperSize="9" scale="92" orientation="portrait" r:id="rId2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R23"/>
  <sheetViews>
    <sheetView rightToLeft="1" view="pageBreakPreview" topLeftCell="A4" zoomScaleNormal="100" zoomScaleSheetLayoutView="100" workbookViewId="0">
      <selection activeCell="N24" sqref="N24"/>
    </sheetView>
  </sheetViews>
  <sheetFormatPr defaultColWidth="9.140625" defaultRowHeight="12.75"/>
  <cols>
    <col min="1" max="1" width="21.7109375" style="1" customWidth="1"/>
    <col min="2" max="11" width="8.42578125" style="1" customWidth="1"/>
    <col min="12" max="12" width="10.42578125" style="1" customWidth="1"/>
    <col min="13" max="13" width="8.28515625" style="1" customWidth="1"/>
    <col min="14" max="14" width="21.7109375" style="1" customWidth="1"/>
    <col min="15" max="16384" width="9.140625" style="1"/>
  </cols>
  <sheetData>
    <row r="1" spans="1:18" s="2" customFormat="1" ht="21.75" customHeight="1">
      <c r="A1" s="1041" t="s">
        <v>263</v>
      </c>
      <c r="B1" s="1041"/>
      <c r="C1" s="1041"/>
      <c r="D1" s="1041"/>
      <c r="E1" s="1041"/>
      <c r="F1" s="1041"/>
      <c r="G1" s="1041"/>
      <c r="H1" s="1041"/>
      <c r="I1" s="1041"/>
      <c r="J1" s="1041"/>
      <c r="K1" s="1041"/>
      <c r="L1" s="1041"/>
      <c r="M1" s="1041"/>
      <c r="N1" s="1041"/>
    </row>
    <row r="2" spans="1:18" s="2" customFormat="1" ht="32.25" customHeight="1">
      <c r="A2" s="1068" t="s">
        <v>262</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t="s">
        <v>261</v>
      </c>
      <c r="B4" s="1069"/>
      <c r="C4" s="1069"/>
      <c r="D4" s="1069"/>
      <c r="E4" s="1069"/>
      <c r="F4" s="1069"/>
      <c r="G4" s="1069"/>
      <c r="H4" s="1069"/>
      <c r="I4" s="1069"/>
      <c r="J4" s="1069"/>
      <c r="K4" s="1069"/>
      <c r="L4" s="1069"/>
      <c r="M4" s="1069"/>
      <c r="N4" s="1069"/>
    </row>
    <row r="5" spans="1:18" s="2" customFormat="1" ht="15.75">
      <c r="A5" s="362"/>
      <c r="B5" s="362"/>
      <c r="C5" s="362"/>
      <c r="D5" s="362"/>
      <c r="E5" s="362"/>
      <c r="F5" s="362"/>
      <c r="G5" s="362"/>
      <c r="H5" s="362"/>
      <c r="I5" s="362"/>
      <c r="J5" s="362"/>
      <c r="K5" s="362"/>
      <c r="L5" s="362"/>
      <c r="M5" s="362"/>
      <c r="N5" s="362"/>
    </row>
    <row r="6" spans="1:18" ht="15.75">
      <c r="A6" s="374" t="s">
        <v>389</v>
      </c>
      <c r="B6" s="378"/>
      <c r="C6" s="378"/>
      <c r="D6" s="378"/>
      <c r="E6" s="378"/>
      <c r="F6" s="378"/>
      <c r="G6" s="378"/>
      <c r="H6" s="378"/>
      <c r="I6" s="378"/>
      <c r="J6" s="378"/>
      <c r="K6" s="378"/>
      <c r="L6" s="378"/>
      <c r="M6" s="378"/>
      <c r="N6" s="376" t="s">
        <v>390</v>
      </c>
    </row>
    <row r="7" spans="1:18" ht="26.25" customHeight="1" thickBot="1">
      <c r="A7" s="1131" t="s">
        <v>141</v>
      </c>
      <c r="B7" s="1119" t="s">
        <v>135</v>
      </c>
      <c r="C7" s="1119"/>
      <c r="D7" s="1119"/>
      <c r="E7" s="1119"/>
      <c r="F7" s="1119"/>
      <c r="G7" s="1119"/>
      <c r="H7" s="1119"/>
      <c r="I7" s="1119"/>
      <c r="J7" s="1119"/>
      <c r="K7" s="1119"/>
      <c r="L7" s="1119"/>
      <c r="M7" s="1119"/>
      <c r="N7" s="1138" t="s">
        <v>1075</v>
      </c>
    </row>
    <row r="8" spans="1:18" ht="35.25" customHeight="1">
      <c r="A8" s="1140"/>
      <c r="B8" s="323">
        <v>-20</v>
      </c>
      <c r="C8" s="323" t="s">
        <v>127</v>
      </c>
      <c r="D8" s="323" t="s">
        <v>126</v>
      </c>
      <c r="E8" s="323" t="s">
        <v>125</v>
      </c>
      <c r="F8" s="323" t="s">
        <v>124</v>
      </c>
      <c r="G8" s="323" t="s">
        <v>123</v>
      </c>
      <c r="H8" s="323" t="s">
        <v>122</v>
      </c>
      <c r="I8" s="323" t="s">
        <v>121</v>
      </c>
      <c r="J8" s="323" t="s">
        <v>120</v>
      </c>
      <c r="K8" s="323" t="s">
        <v>132</v>
      </c>
      <c r="L8" s="533" t="s">
        <v>617</v>
      </c>
      <c r="M8" s="323" t="s">
        <v>618</v>
      </c>
      <c r="N8" s="1141"/>
    </row>
    <row r="9" spans="1:18" ht="19.5" customHeight="1" thickBot="1">
      <c r="A9" s="810" t="s">
        <v>426</v>
      </c>
      <c r="B9" s="141">
        <v>14</v>
      </c>
      <c r="C9" s="141">
        <v>4</v>
      </c>
      <c r="D9" s="141">
        <v>1</v>
      </c>
      <c r="E9" s="141">
        <v>0</v>
      </c>
      <c r="F9" s="141">
        <v>0</v>
      </c>
      <c r="G9" s="141">
        <v>0</v>
      </c>
      <c r="H9" s="141">
        <v>0</v>
      </c>
      <c r="I9" s="141">
        <v>0</v>
      </c>
      <c r="J9" s="141">
        <v>0</v>
      </c>
      <c r="K9" s="141">
        <v>0</v>
      </c>
      <c r="L9" s="141">
        <v>0</v>
      </c>
      <c r="M9" s="305">
        <v>19</v>
      </c>
      <c r="N9" s="95" t="s">
        <v>426</v>
      </c>
    </row>
    <row r="10" spans="1:18" ht="19.5" customHeight="1" thickBot="1">
      <c r="A10" s="811" t="s">
        <v>127</v>
      </c>
      <c r="B10" s="142">
        <v>41</v>
      </c>
      <c r="C10" s="142">
        <v>95</v>
      </c>
      <c r="D10" s="142">
        <v>17</v>
      </c>
      <c r="E10" s="142">
        <v>1</v>
      </c>
      <c r="F10" s="142">
        <v>0</v>
      </c>
      <c r="G10" s="142">
        <v>0</v>
      </c>
      <c r="H10" s="142">
        <v>0</v>
      </c>
      <c r="I10" s="142">
        <v>0</v>
      </c>
      <c r="J10" s="142">
        <v>0</v>
      </c>
      <c r="K10" s="142">
        <v>0</v>
      </c>
      <c r="L10" s="142">
        <v>0</v>
      </c>
      <c r="M10" s="305">
        <v>154</v>
      </c>
      <c r="N10" s="814" t="s">
        <v>127</v>
      </c>
    </row>
    <row r="11" spans="1:18" ht="19.5" customHeight="1" thickBot="1">
      <c r="A11" s="811" t="s">
        <v>126</v>
      </c>
      <c r="B11" s="142">
        <v>25</v>
      </c>
      <c r="C11" s="142">
        <v>94</v>
      </c>
      <c r="D11" s="142">
        <v>59</v>
      </c>
      <c r="E11" s="142">
        <v>7</v>
      </c>
      <c r="F11" s="142">
        <v>1</v>
      </c>
      <c r="G11" s="142">
        <v>0</v>
      </c>
      <c r="H11" s="142">
        <v>0</v>
      </c>
      <c r="I11" s="142">
        <v>0</v>
      </c>
      <c r="J11" s="142">
        <v>0</v>
      </c>
      <c r="K11" s="142">
        <v>0</v>
      </c>
      <c r="L11" s="142">
        <v>0</v>
      </c>
      <c r="M11" s="305">
        <v>186</v>
      </c>
      <c r="N11" s="814" t="s">
        <v>126</v>
      </c>
    </row>
    <row r="12" spans="1:18" ht="19.5" customHeight="1" thickBot="1">
      <c r="A12" s="811" t="s">
        <v>125</v>
      </c>
      <c r="B12" s="142">
        <v>1</v>
      </c>
      <c r="C12" s="142">
        <v>16</v>
      </c>
      <c r="D12" s="142">
        <v>13</v>
      </c>
      <c r="E12" s="142">
        <v>10</v>
      </c>
      <c r="F12" s="142">
        <v>2</v>
      </c>
      <c r="G12" s="142">
        <v>0</v>
      </c>
      <c r="H12" s="142">
        <v>0</v>
      </c>
      <c r="I12" s="142">
        <v>0</v>
      </c>
      <c r="J12" s="142">
        <v>0</v>
      </c>
      <c r="K12" s="142">
        <v>0</v>
      </c>
      <c r="L12" s="142">
        <v>0</v>
      </c>
      <c r="M12" s="305">
        <v>42</v>
      </c>
      <c r="N12" s="814" t="s">
        <v>125</v>
      </c>
    </row>
    <row r="13" spans="1:18" ht="19.5" customHeight="1" thickBot="1">
      <c r="A13" s="811" t="s">
        <v>124</v>
      </c>
      <c r="B13" s="142">
        <v>0</v>
      </c>
      <c r="C13" s="142">
        <v>0</v>
      </c>
      <c r="D13" s="142">
        <v>1</v>
      </c>
      <c r="E13" s="142">
        <v>3</v>
      </c>
      <c r="F13" s="142">
        <v>7</v>
      </c>
      <c r="G13" s="142">
        <v>1</v>
      </c>
      <c r="H13" s="142">
        <v>0</v>
      </c>
      <c r="I13" s="142">
        <v>0</v>
      </c>
      <c r="J13" s="142">
        <v>0</v>
      </c>
      <c r="K13" s="142">
        <v>0</v>
      </c>
      <c r="L13" s="142">
        <v>0</v>
      </c>
      <c r="M13" s="305">
        <v>12</v>
      </c>
      <c r="N13" s="814" t="s">
        <v>124</v>
      </c>
    </row>
    <row r="14" spans="1:18" ht="19.5" customHeight="1" thickBot="1">
      <c r="A14" s="811" t="s">
        <v>123</v>
      </c>
      <c r="B14" s="142">
        <v>0</v>
      </c>
      <c r="C14" s="142">
        <v>1</v>
      </c>
      <c r="D14" s="142">
        <v>0</v>
      </c>
      <c r="E14" s="142">
        <v>3</v>
      </c>
      <c r="F14" s="142">
        <v>3</v>
      </c>
      <c r="G14" s="142">
        <v>2</v>
      </c>
      <c r="H14" s="142">
        <v>0</v>
      </c>
      <c r="I14" s="142">
        <v>0</v>
      </c>
      <c r="J14" s="142">
        <v>0</v>
      </c>
      <c r="K14" s="142">
        <v>0</v>
      </c>
      <c r="L14" s="142">
        <v>0</v>
      </c>
      <c r="M14" s="305">
        <v>9</v>
      </c>
      <c r="N14" s="814" t="s">
        <v>123</v>
      </c>
    </row>
    <row r="15" spans="1:18" ht="19.5" customHeight="1" thickBot="1">
      <c r="A15" s="811" t="s">
        <v>122</v>
      </c>
      <c r="B15" s="142">
        <v>0</v>
      </c>
      <c r="C15" s="142">
        <v>0</v>
      </c>
      <c r="D15" s="142">
        <v>0</v>
      </c>
      <c r="E15" s="142">
        <v>2</v>
      </c>
      <c r="F15" s="142">
        <v>1</v>
      </c>
      <c r="G15" s="142">
        <v>1</v>
      </c>
      <c r="H15" s="142">
        <v>0</v>
      </c>
      <c r="I15" s="142">
        <v>0</v>
      </c>
      <c r="J15" s="142">
        <v>0</v>
      </c>
      <c r="K15" s="142">
        <v>0</v>
      </c>
      <c r="L15" s="142">
        <v>0</v>
      </c>
      <c r="M15" s="305">
        <v>4</v>
      </c>
      <c r="N15" s="814" t="s">
        <v>122</v>
      </c>
    </row>
    <row r="16" spans="1:18" ht="19.5" customHeight="1" thickBot="1">
      <c r="A16" s="811" t="s">
        <v>121</v>
      </c>
      <c r="B16" s="142">
        <v>0</v>
      </c>
      <c r="C16" s="142">
        <v>0</v>
      </c>
      <c r="D16" s="142">
        <v>0</v>
      </c>
      <c r="E16" s="142">
        <v>0</v>
      </c>
      <c r="F16" s="142">
        <v>0</v>
      </c>
      <c r="G16" s="142">
        <v>0</v>
      </c>
      <c r="H16" s="142">
        <v>0</v>
      </c>
      <c r="I16" s="142">
        <v>0</v>
      </c>
      <c r="J16" s="142">
        <v>0</v>
      </c>
      <c r="K16" s="142">
        <v>0</v>
      </c>
      <c r="L16" s="142">
        <v>0</v>
      </c>
      <c r="M16" s="305">
        <v>0</v>
      </c>
      <c r="N16" s="814" t="s">
        <v>121</v>
      </c>
    </row>
    <row r="17" spans="1:14" ht="19.5" customHeight="1" thickBot="1">
      <c r="A17" s="811" t="s">
        <v>120</v>
      </c>
      <c r="B17" s="142">
        <v>0</v>
      </c>
      <c r="C17" s="142">
        <v>1</v>
      </c>
      <c r="D17" s="142">
        <v>0</v>
      </c>
      <c r="E17" s="142">
        <v>0</v>
      </c>
      <c r="F17" s="142">
        <v>0</v>
      </c>
      <c r="G17" s="142">
        <v>0</v>
      </c>
      <c r="H17" s="142">
        <v>1</v>
      </c>
      <c r="I17" s="142">
        <v>0</v>
      </c>
      <c r="J17" s="142">
        <v>0</v>
      </c>
      <c r="K17" s="142">
        <v>0</v>
      </c>
      <c r="L17" s="142">
        <v>0</v>
      </c>
      <c r="M17" s="305">
        <v>2</v>
      </c>
      <c r="N17" s="814" t="s">
        <v>120</v>
      </c>
    </row>
    <row r="18" spans="1:14" ht="19.5" customHeight="1" thickBot="1">
      <c r="A18" s="811" t="s">
        <v>119</v>
      </c>
      <c r="B18" s="142">
        <v>0</v>
      </c>
      <c r="C18" s="142">
        <v>0</v>
      </c>
      <c r="D18" s="142">
        <v>0</v>
      </c>
      <c r="E18" s="142">
        <v>0</v>
      </c>
      <c r="F18" s="142">
        <v>0</v>
      </c>
      <c r="G18" s="142">
        <v>0</v>
      </c>
      <c r="H18" s="142">
        <v>1</v>
      </c>
      <c r="I18" s="142">
        <v>0</v>
      </c>
      <c r="J18" s="142">
        <v>0</v>
      </c>
      <c r="K18" s="142">
        <v>0</v>
      </c>
      <c r="L18" s="142">
        <v>0</v>
      </c>
      <c r="M18" s="305">
        <v>1</v>
      </c>
      <c r="N18" s="814" t="s">
        <v>119</v>
      </c>
    </row>
    <row r="19" spans="1:14" ht="19.5" customHeight="1" thickBot="1">
      <c r="A19" s="811" t="s">
        <v>118</v>
      </c>
      <c r="B19" s="142">
        <v>0</v>
      </c>
      <c r="C19" s="142">
        <v>0</v>
      </c>
      <c r="D19" s="142">
        <v>0</v>
      </c>
      <c r="E19" s="142">
        <v>0</v>
      </c>
      <c r="F19" s="142">
        <v>0</v>
      </c>
      <c r="G19" s="142">
        <v>0</v>
      </c>
      <c r="H19" s="142">
        <v>0</v>
      </c>
      <c r="I19" s="142">
        <v>0</v>
      </c>
      <c r="J19" s="142">
        <v>0</v>
      </c>
      <c r="K19" s="142">
        <v>0</v>
      </c>
      <c r="L19" s="142">
        <v>0</v>
      </c>
      <c r="M19" s="305">
        <v>0</v>
      </c>
      <c r="N19" s="814" t="s">
        <v>118</v>
      </c>
    </row>
    <row r="20" spans="1:14" ht="19.5" customHeight="1" thickBot="1">
      <c r="A20" s="811" t="s">
        <v>117</v>
      </c>
      <c r="B20" s="142">
        <v>0</v>
      </c>
      <c r="C20" s="142">
        <v>0</v>
      </c>
      <c r="D20" s="142">
        <v>0</v>
      </c>
      <c r="E20" s="142">
        <v>0</v>
      </c>
      <c r="F20" s="142">
        <v>0</v>
      </c>
      <c r="G20" s="142">
        <v>0</v>
      </c>
      <c r="H20" s="142">
        <v>0</v>
      </c>
      <c r="I20" s="142">
        <v>0</v>
      </c>
      <c r="J20" s="142">
        <v>0</v>
      </c>
      <c r="K20" s="142">
        <v>0</v>
      </c>
      <c r="L20" s="142">
        <v>0</v>
      </c>
      <c r="M20" s="305">
        <v>0</v>
      </c>
      <c r="N20" s="814" t="s">
        <v>117</v>
      </c>
    </row>
    <row r="21" spans="1:14" ht="19.5" customHeight="1" thickBot="1">
      <c r="A21" s="811" t="s">
        <v>116</v>
      </c>
      <c r="B21" s="142">
        <v>0</v>
      </c>
      <c r="C21" s="142">
        <v>0</v>
      </c>
      <c r="D21" s="142">
        <v>0</v>
      </c>
      <c r="E21" s="142">
        <v>0</v>
      </c>
      <c r="F21" s="142">
        <v>0</v>
      </c>
      <c r="G21" s="142">
        <v>0</v>
      </c>
      <c r="H21" s="142">
        <v>0</v>
      </c>
      <c r="I21" s="142">
        <v>0</v>
      </c>
      <c r="J21" s="142">
        <v>0</v>
      </c>
      <c r="K21" s="142">
        <v>0</v>
      </c>
      <c r="L21" s="142">
        <v>0</v>
      </c>
      <c r="M21" s="305">
        <v>0</v>
      </c>
      <c r="N21" s="814" t="s">
        <v>116</v>
      </c>
    </row>
    <row r="22" spans="1:14" ht="19.5" customHeight="1">
      <c r="A22" s="812" t="s">
        <v>14</v>
      </c>
      <c r="B22" s="143">
        <v>0</v>
      </c>
      <c r="C22" s="143">
        <v>0</v>
      </c>
      <c r="D22" s="143">
        <v>0</v>
      </c>
      <c r="E22" s="143">
        <v>0</v>
      </c>
      <c r="F22" s="143">
        <v>0</v>
      </c>
      <c r="G22" s="143">
        <v>0</v>
      </c>
      <c r="H22" s="143">
        <v>0</v>
      </c>
      <c r="I22" s="143">
        <v>0</v>
      </c>
      <c r="J22" s="143">
        <v>0</v>
      </c>
      <c r="K22" s="143">
        <v>0</v>
      </c>
      <c r="L22" s="143">
        <v>0</v>
      </c>
      <c r="M22" s="448">
        <v>0</v>
      </c>
      <c r="N22" s="815" t="s">
        <v>15</v>
      </c>
    </row>
    <row r="23" spans="1:14" ht="19.5" customHeight="1">
      <c r="A23" s="1000" t="s">
        <v>16</v>
      </c>
      <c r="B23" s="971">
        <f>SUBTOTAL(109,Table_Default__XLS_TAB_18_1[AGE_LEVEL_LESS_20])</f>
        <v>81</v>
      </c>
      <c r="C23" s="971">
        <f>SUBTOTAL(109,Table_Default__XLS_TAB_18_1[AGE_LEVEL_20_24])</f>
        <v>211</v>
      </c>
      <c r="D23" s="971">
        <f>SUBTOTAL(109,Table_Default__XLS_TAB_18_1[AGE_LEVEL_25_29])</f>
        <v>91</v>
      </c>
      <c r="E23" s="971">
        <f>SUBTOTAL(109,Table_Default__XLS_TAB_18_1[AGE_LEVEL_30_34])</f>
        <v>26</v>
      </c>
      <c r="F23" s="971">
        <f>SUBTOTAL(109,Table_Default__XLS_TAB_18_1[AGE_LEVEL_35_39])</f>
        <v>14</v>
      </c>
      <c r="G23" s="971">
        <f>SUBTOTAL(109,Table_Default__XLS_TAB_18_1[AGE_LEVEL_40_44])</f>
        <v>4</v>
      </c>
      <c r="H23" s="971">
        <f>SUBTOTAL(109,Table_Default__XLS_TAB_18_1[AGE_LEVEL_45_49])</f>
        <v>2</v>
      </c>
      <c r="I23" s="971">
        <f>SUBTOTAL(109,Table_Default__XLS_TAB_18_1[AGE_LEVEL_50_54])</f>
        <v>0</v>
      </c>
      <c r="J23" s="971">
        <f>SUBTOTAL(109,Table_Default__XLS_TAB_18_1[AGE_LEVEL_55_59])</f>
        <v>0</v>
      </c>
      <c r="K23" s="971">
        <f>SUBTOTAL(109,Table_Default__XLS_TAB_18_1[AGE_LEVEL_UP_60])</f>
        <v>0</v>
      </c>
      <c r="L23" s="971">
        <f>SUBTOTAL(109,Table_Default__XLS_TAB_18_1[AGE_LEVEL_NOT_STATED])</f>
        <v>0</v>
      </c>
      <c r="M23" s="971">
        <f>SUBTOTAL(109,Table_Default__XLS_TAB_18_1[TOTAL])</f>
        <v>429</v>
      </c>
      <c r="N23" s="1001"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R24"/>
  <sheetViews>
    <sheetView rightToLeft="1" view="pageBreakPreview" topLeftCell="A7" zoomScaleNormal="100" zoomScaleSheetLayoutView="100" workbookViewId="0">
      <selection activeCell="M23" sqref="M23"/>
    </sheetView>
  </sheetViews>
  <sheetFormatPr defaultColWidth="9.140625" defaultRowHeight="12.75"/>
  <cols>
    <col min="1" max="1" width="21.7109375" style="1" customWidth="1"/>
    <col min="2" max="11" width="8.42578125" style="1" customWidth="1"/>
    <col min="12" max="12" width="10.42578125" style="1" customWidth="1"/>
    <col min="13" max="13" width="8.28515625" style="1" customWidth="1"/>
    <col min="14" max="14" width="21.7109375" style="1" customWidth="1"/>
    <col min="15" max="16384" width="9.140625" style="1"/>
  </cols>
  <sheetData>
    <row r="1" spans="1:18" s="2" customFormat="1" ht="21.75" customHeight="1">
      <c r="A1" s="1041" t="s">
        <v>263</v>
      </c>
      <c r="B1" s="1041"/>
      <c r="C1" s="1041"/>
      <c r="D1" s="1041"/>
      <c r="E1" s="1041"/>
      <c r="F1" s="1041"/>
      <c r="G1" s="1041"/>
      <c r="H1" s="1041"/>
      <c r="I1" s="1041"/>
      <c r="J1" s="1041"/>
      <c r="K1" s="1041"/>
      <c r="L1" s="1041"/>
      <c r="M1" s="1041"/>
      <c r="N1" s="1041"/>
    </row>
    <row r="2" spans="1:18" s="2" customFormat="1" ht="32.25" customHeight="1">
      <c r="A2" s="1068" t="s">
        <v>262</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t="s">
        <v>266</v>
      </c>
      <c r="B4" s="1069"/>
      <c r="C4" s="1069"/>
      <c r="D4" s="1069"/>
      <c r="E4" s="1069"/>
      <c r="F4" s="1069"/>
      <c r="G4" s="1069"/>
      <c r="H4" s="1069"/>
      <c r="I4" s="1069"/>
      <c r="J4" s="1069"/>
      <c r="K4" s="1069"/>
      <c r="L4" s="1069"/>
      <c r="M4" s="1069"/>
      <c r="N4" s="1069"/>
    </row>
    <row r="5" spans="1:18" s="2" customFormat="1" ht="15.75">
      <c r="A5" s="362"/>
      <c r="B5" s="362"/>
      <c r="C5" s="362"/>
      <c r="D5" s="362"/>
      <c r="E5" s="362"/>
      <c r="F5" s="362"/>
      <c r="G5" s="362"/>
      <c r="H5" s="362"/>
      <c r="I5" s="362"/>
      <c r="J5" s="362"/>
      <c r="K5" s="362"/>
      <c r="L5" s="362"/>
      <c r="M5" s="362"/>
      <c r="N5" s="362"/>
    </row>
    <row r="6" spans="1:18" ht="15.75">
      <c r="A6" s="374" t="s">
        <v>393</v>
      </c>
      <c r="B6" s="378"/>
      <c r="C6" s="378"/>
      <c r="D6" s="378"/>
      <c r="E6" s="378"/>
      <c r="F6" s="378"/>
      <c r="G6" s="378"/>
      <c r="H6" s="378"/>
      <c r="I6" s="378"/>
      <c r="J6" s="378"/>
      <c r="K6" s="378"/>
      <c r="L6" s="378"/>
      <c r="M6" s="378"/>
      <c r="N6" s="376" t="s">
        <v>394</v>
      </c>
    </row>
    <row r="7" spans="1:18" ht="26.25" customHeight="1" thickBot="1">
      <c r="A7" s="1131" t="s">
        <v>141</v>
      </c>
      <c r="B7" s="1119" t="s">
        <v>135</v>
      </c>
      <c r="C7" s="1119"/>
      <c r="D7" s="1119"/>
      <c r="E7" s="1119"/>
      <c r="F7" s="1119"/>
      <c r="G7" s="1119"/>
      <c r="H7" s="1119"/>
      <c r="I7" s="1119"/>
      <c r="J7" s="1119"/>
      <c r="K7" s="1119"/>
      <c r="L7" s="1119"/>
      <c r="M7" s="1119"/>
      <c r="N7" s="1138" t="s">
        <v>1075</v>
      </c>
    </row>
    <row r="8" spans="1:18" ht="35.25" customHeight="1">
      <c r="A8" s="1140"/>
      <c r="B8" s="323">
        <v>-20</v>
      </c>
      <c r="C8" s="323" t="s">
        <v>127</v>
      </c>
      <c r="D8" s="323" t="s">
        <v>126</v>
      </c>
      <c r="E8" s="323" t="s">
        <v>125</v>
      </c>
      <c r="F8" s="323" t="s">
        <v>124</v>
      </c>
      <c r="G8" s="323" t="s">
        <v>123</v>
      </c>
      <c r="H8" s="323" t="s">
        <v>122</v>
      </c>
      <c r="I8" s="323" t="s">
        <v>121</v>
      </c>
      <c r="J8" s="323" t="s">
        <v>120</v>
      </c>
      <c r="K8" s="323" t="s">
        <v>132</v>
      </c>
      <c r="L8" s="533" t="s">
        <v>617</v>
      </c>
      <c r="M8" s="533" t="s">
        <v>618</v>
      </c>
      <c r="N8" s="1141"/>
    </row>
    <row r="9" spans="1:18" ht="19.5" customHeight="1" thickBot="1">
      <c r="A9" s="810" t="s">
        <v>426</v>
      </c>
      <c r="B9" s="141">
        <v>3</v>
      </c>
      <c r="C9" s="141">
        <v>0</v>
      </c>
      <c r="D9" s="141">
        <v>0</v>
      </c>
      <c r="E9" s="141">
        <v>0</v>
      </c>
      <c r="F9" s="141">
        <v>0</v>
      </c>
      <c r="G9" s="141">
        <v>0</v>
      </c>
      <c r="H9" s="141">
        <v>0</v>
      </c>
      <c r="I9" s="141">
        <v>0</v>
      </c>
      <c r="J9" s="141">
        <v>0</v>
      </c>
      <c r="K9" s="141">
        <v>0</v>
      </c>
      <c r="L9" s="141">
        <v>0</v>
      </c>
      <c r="M9" s="303">
        <v>3</v>
      </c>
      <c r="N9" s="95" t="s">
        <v>426</v>
      </c>
    </row>
    <row r="10" spans="1:18" ht="19.5" customHeight="1" thickBot="1">
      <c r="A10" s="811" t="s">
        <v>127</v>
      </c>
      <c r="B10" s="142">
        <v>30</v>
      </c>
      <c r="C10" s="142">
        <v>69</v>
      </c>
      <c r="D10" s="142">
        <v>4</v>
      </c>
      <c r="E10" s="142">
        <v>0</v>
      </c>
      <c r="F10" s="142">
        <v>0</v>
      </c>
      <c r="G10" s="142">
        <v>0</v>
      </c>
      <c r="H10" s="142">
        <v>0</v>
      </c>
      <c r="I10" s="142">
        <v>0</v>
      </c>
      <c r="J10" s="142">
        <v>0</v>
      </c>
      <c r="K10" s="142">
        <v>0</v>
      </c>
      <c r="L10" s="141">
        <v>0</v>
      </c>
      <c r="M10" s="303">
        <v>103</v>
      </c>
      <c r="N10" s="168" t="s">
        <v>127</v>
      </c>
    </row>
    <row r="11" spans="1:18" ht="19.5" customHeight="1" thickBot="1">
      <c r="A11" s="811" t="s">
        <v>126</v>
      </c>
      <c r="B11" s="142">
        <v>6</v>
      </c>
      <c r="C11" s="142">
        <v>81</v>
      </c>
      <c r="D11" s="142">
        <v>47</v>
      </c>
      <c r="E11" s="142">
        <v>2</v>
      </c>
      <c r="F11" s="142">
        <v>1</v>
      </c>
      <c r="G11" s="142">
        <v>0</v>
      </c>
      <c r="H11" s="142">
        <v>0</v>
      </c>
      <c r="I11" s="142">
        <v>0</v>
      </c>
      <c r="J11" s="142">
        <v>0</v>
      </c>
      <c r="K11" s="142">
        <v>0</v>
      </c>
      <c r="L11" s="141">
        <v>0</v>
      </c>
      <c r="M11" s="303">
        <v>137</v>
      </c>
      <c r="N11" s="168" t="s">
        <v>126</v>
      </c>
    </row>
    <row r="12" spans="1:18" ht="19.5" customHeight="1" thickBot="1">
      <c r="A12" s="811" t="s">
        <v>125</v>
      </c>
      <c r="B12" s="142">
        <v>0</v>
      </c>
      <c r="C12" s="142">
        <v>14</v>
      </c>
      <c r="D12" s="142">
        <v>25</v>
      </c>
      <c r="E12" s="142">
        <v>9</v>
      </c>
      <c r="F12" s="142">
        <v>1</v>
      </c>
      <c r="G12" s="142">
        <v>0</v>
      </c>
      <c r="H12" s="142">
        <v>0</v>
      </c>
      <c r="I12" s="142">
        <v>0</v>
      </c>
      <c r="J12" s="142">
        <v>0</v>
      </c>
      <c r="K12" s="142">
        <v>0</v>
      </c>
      <c r="L12" s="141">
        <v>0</v>
      </c>
      <c r="M12" s="303">
        <v>49</v>
      </c>
      <c r="N12" s="168" t="s">
        <v>125</v>
      </c>
    </row>
    <row r="13" spans="1:18" ht="19.5" customHeight="1" thickBot="1">
      <c r="A13" s="811" t="s">
        <v>124</v>
      </c>
      <c r="B13" s="142">
        <v>0</v>
      </c>
      <c r="C13" s="142">
        <v>0</v>
      </c>
      <c r="D13" s="142">
        <v>4</v>
      </c>
      <c r="E13" s="142">
        <v>5</v>
      </c>
      <c r="F13" s="142">
        <v>2</v>
      </c>
      <c r="G13" s="142">
        <v>1</v>
      </c>
      <c r="H13" s="142">
        <v>0</v>
      </c>
      <c r="I13" s="142">
        <v>0</v>
      </c>
      <c r="J13" s="142">
        <v>0</v>
      </c>
      <c r="K13" s="142">
        <v>0</v>
      </c>
      <c r="L13" s="141">
        <v>0</v>
      </c>
      <c r="M13" s="303">
        <v>12</v>
      </c>
      <c r="N13" s="168" t="s">
        <v>124</v>
      </c>
    </row>
    <row r="14" spans="1:18" ht="19.5" customHeight="1" thickBot="1">
      <c r="A14" s="811" t="s">
        <v>123</v>
      </c>
      <c r="B14" s="142">
        <v>1</v>
      </c>
      <c r="C14" s="142">
        <v>0</v>
      </c>
      <c r="D14" s="142">
        <v>1</v>
      </c>
      <c r="E14" s="142">
        <v>5</v>
      </c>
      <c r="F14" s="142">
        <v>3</v>
      </c>
      <c r="G14" s="142">
        <v>2</v>
      </c>
      <c r="H14" s="142">
        <v>0</v>
      </c>
      <c r="I14" s="142">
        <v>0</v>
      </c>
      <c r="J14" s="142">
        <v>0</v>
      </c>
      <c r="K14" s="142">
        <v>0</v>
      </c>
      <c r="L14" s="141">
        <v>0</v>
      </c>
      <c r="M14" s="303">
        <v>12</v>
      </c>
      <c r="N14" s="168" t="s">
        <v>123</v>
      </c>
    </row>
    <row r="15" spans="1:18" ht="19.5" customHeight="1" thickBot="1">
      <c r="A15" s="811" t="s">
        <v>122</v>
      </c>
      <c r="B15" s="142">
        <v>0</v>
      </c>
      <c r="C15" s="142">
        <v>0</v>
      </c>
      <c r="D15" s="142">
        <v>0</v>
      </c>
      <c r="E15" s="142">
        <v>0</v>
      </c>
      <c r="F15" s="142">
        <v>2</v>
      </c>
      <c r="G15" s="142">
        <v>0</v>
      </c>
      <c r="H15" s="142">
        <v>0</v>
      </c>
      <c r="I15" s="142">
        <v>1</v>
      </c>
      <c r="J15" s="142">
        <v>0</v>
      </c>
      <c r="K15" s="142">
        <v>0</v>
      </c>
      <c r="L15" s="141">
        <v>0</v>
      </c>
      <c r="M15" s="303">
        <v>3</v>
      </c>
      <c r="N15" s="168" t="s">
        <v>122</v>
      </c>
    </row>
    <row r="16" spans="1:18" ht="19.5" customHeight="1" thickBot="1">
      <c r="A16" s="811" t="s">
        <v>121</v>
      </c>
      <c r="B16" s="142">
        <v>0</v>
      </c>
      <c r="C16" s="142">
        <v>0</v>
      </c>
      <c r="D16" s="142">
        <v>1</v>
      </c>
      <c r="E16" s="142">
        <v>0</v>
      </c>
      <c r="F16" s="142">
        <v>0</v>
      </c>
      <c r="G16" s="142">
        <v>2</v>
      </c>
      <c r="H16" s="142">
        <v>1</v>
      </c>
      <c r="I16" s="142">
        <v>0</v>
      </c>
      <c r="J16" s="142">
        <v>0</v>
      </c>
      <c r="K16" s="142">
        <v>0</v>
      </c>
      <c r="L16" s="141">
        <v>0</v>
      </c>
      <c r="M16" s="303">
        <v>4</v>
      </c>
      <c r="N16" s="168" t="s">
        <v>121</v>
      </c>
    </row>
    <row r="17" spans="1:14" ht="19.5" customHeight="1" thickBot="1">
      <c r="A17" s="811" t="s">
        <v>120</v>
      </c>
      <c r="B17" s="142">
        <v>0</v>
      </c>
      <c r="C17" s="142">
        <v>0</v>
      </c>
      <c r="D17" s="142">
        <v>0</v>
      </c>
      <c r="E17" s="142">
        <v>0</v>
      </c>
      <c r="F17" s="142">
        <v>0</v>
      </c>
      <c r="G17" s="142">
        <v>0</v>
      </c>
      <c r="H17" s="142">
        <v>1</v>
      </c>
      <c r="I17" s="142">
        <v>0</v>
      </c>
      <c r="J17" s="142">
        <v>0</v>
      </c>
      <c r="K17" s="142">
        <v>0</v>
      </c>
      <c r="L17" s="141">
        <v>0</v>
      </c>
      <c r="M17" s="303">
        <v>1</v>
      </c>
      <c r="N17" s="168" t="s">
        <v>120</v>
      </c>
    </row>
    <row r="18" spans="1:14" ht="19.5" customHeight="1" thickBot="1">
      <c r="A18" s="811" t="s">
        <v>119</v>
      </c>
      <c r="B18" s="142">
        <v>0</v>
      </c>
      <c r="C18" s="142">
        <v>0</v>
      </c>
      <c r="D18" s="142">
        <v>0</v>
      </c>
      <c r="E18" s="142">
        <v>0</v>
      </c>
      <c r="F18" s="142">
        <v>0</v>
      </c>
      <c r="G18" s="142">
        <v>0</v>
      </c>
      <c r="H18" s="142">
        <v>0</v>
      </c>
      <c r="I18" s="142">
        <v>0</v>
      </c>
      <c r="J18" s="142">
        <v>0</v>
      </c>
      <c r="K18" s="142">
        <v>0</v>
      </c>
      <c r="L18" s="141">
        <v>0</v>
      </c>
      <c r="M18" s="303">
        <v>0</v>
      </c>
      <c r="N18" s="168" t="s">
        <v>119</v>
      </c>
    </row>
    <row r="19" spans="1:14" ht="19.5" customHeight="1" thickBot="1">
      <c r="A19" s="811" t="s">
        <v>118</v>
      </c>
      <c r="B19" s="142">
        <v>0</v>
      </c>
      <c r="C19" s="142">
        <v>0</v>
      </c>
      <c r="D19" s="142">
        <v>0</v>
      </c>
      <c r="E19" s="142">
        <v>0</v>
      </c>
      <c r="F19" s="142">
        <v>0</v>
      </c>
      <c r="G19" s="142">
        <v>0</v>
      </c>
      <c r="H19" s="142">
        <v>0</v>
      </c>
      <c r="I19" s="142">
        <v>1</v>
      </c>
      <c r="J19" s="142">
        <v>0</v>
      </c>
      <c r="K19" s="142">
        <v>0</v>
      </c>
      <c r="L19" s="141">
        <v>0</v>
      </c>
      <c r="M19" s="303">
        <v>1</v>
      </c>
      <c r="N19" s="168" t="s">
        <v>118</v>
      </c>
    </row>
    <row r="20" spans="1:14" ht="19.5" customHeight="1" thickBot="1">
      <c r="A20" s="811" t="s">
        <v>117</v>
      </c>
      <c r="B20" s="142">
        <v>0</v>
      </c>
      <c r="C20" s="142">
        <v>0</v>
      </c>
      <c r="D20" s="142">
        <v>0</v>
      </c>
      <c r="E20" s="142">
        <v>0</v>
      </c>
      <c r="F20" s="142">
        <v>0</v>
      </c>
      <c r="G20" s="142">
        <v>0</v>
      </c>
      <c r="H20" s="142">
        <v>0</v>
      </c>
      <c r="I20" s="142">
        <v>0</v>
      </c>
      <c r="J20" s="142">
        <v>0</v>
      </c>
      <c r="K20" s="142">
        <v>0</v>
      </c>
      <c r="L20" s="141">
        <v>0</v>
      </c>
      <c r="M20" s="303">
        <v>0</v>
      </c>
      <c r="N20" s="168" t="s">
        <v>117</v>
      </c>
    </row>
    <row r="21" spans="1:14" ht="19.5" customHeight="1" thickBot="1">
      <c r="A21" s="811" t="s">
        <v>116</v>
      </c>
      <c r="B21" s="142">
        <v>0</v>
      </c>
      <c r="C21" s="142">
        <v>0</v>
      </c>
      <c r="D21" s="142">
        <v>0</v>
      </c>
      <c r="E21" s="142">
        <v>0</v>
      </c>
      <c r="F21" s="142">
        <v>0</v>
      </c>
      <c r="G21" s="142">
        <v>0</v>
      </c>
      <c r="H21" s="142">
        <v>0</v>
      </c>
      <c r="I21" s="142">
        <v>0</v>
      </c>
      <c r="J21" s="142">
        <v>0</v>
      </c>
      <c r="K21" s="142">
        <v>0</v>
      </c>
      <c r="L21" s="141">
        <v>0</v>
      </c>
      <c r="M21" s="303">
        <v>0</v>
      </c>
      <c r="N21" s="168" t="s">
        <v>116</v>
      </c>
    </row>
    <row r="22" spans="1:14" ht="19.5" customHeight="1">
      <c r="A22" s="812" t="s">
        <v>14</v>
      </c>
      <c r="B22" s="143">
        <v>0</v>
      </c>
      <c r="C22" s="143">
        <v>0</v>
      </c>
      <c r="D22" s="143">
        <v>0</v>
      </c>
      <c r="E22" s="143">
        <v>0</v>
      </c>
      <c r="F22" s="143">
        <v>0</v>
      </c>
      <c r="G22" s="143">
        <v>0</v>
      </c>
      <c r="H22" s="143">
        <v>0</v>
      </c>
      <c r="I22" s="143">
        <v>0</v>
      </c>
      <c r="J22" s="143">
        <v>0</v>
      </c>
      <c r="K22" s="143">
        <v>0</v>
      </c>
      <c r="L22" s="167">
        <v>0</v>
      </c>
      <c r="M22" s="447">
        <v>0</v>
      </c>
      <c r="N22" s="169" t="s">
        <v>15</v>
      </c>
    </row>
    <row r="23" spans="1:14" ht="19.5" customHeight="1">
      <c r="A23" s="1002" t="s">
        <v>16</v>
      </c>
      <c r="B23" s="1003">
        <f>SUBTOTAL(109,Table_Default__XLS_TAB_18_2[AGE_LEVEL_LESS_20])</f>
        <v>40</v>
      </c>
      <c r="C23" s="1003">
        <f>SUBTOTAL(109,Table_Default__XLS_TAB_18_2[AGE_LEVEL_20_24])</f>
        <v>164</v>
      </c>
      <c r="D23" s="1003">
        <f>SUBTOTAL(109,Table_Default__XLS_TAB_18_2[AGE_LEVEL_25_29])</f>
        <v>82</v>
      </c>
      <c r="E23" s="1003">
        <f>SUBTOTAL(109,Table_Default__XLS_TAB_18_2[AGE_LEVEL_30_34])</f>
        <v>21</v>
      </c>
      <c r="F23" s="1003">
        <f>SUBTOTAL(109,Table_Default__XLS_TAB_18_2[AGE_LEVEL_35_39])</f>
        <v>9</v>
      </c>
      <c r="G23" s="1003">
        <f>SUBTOTAL(109,Table_Default__XLS_TAB_18_2[AGE_LEVEL_40_44])</f>
        <v>5</v>
      </c>
      <c r="H23" s="1003">
        <f>SUBTOTAL(109,Table_Default__XLS_TAB_18_2[AGE_LEVEL_45_49])</f>
        <v>2</v>
      </c>
      <c r="I23" s="1003">
        <f>SUBTOTAL(109,Table_Default__XLS_TAB_18_2[AGE_LEVEL_50_54])</f>
        <v>2</v>
      </c>
      <c r="J23" s="1003">
        <f>SUBTOTAL(109,Table_Default__XLS_TAB_18_2[AGE_LEVEL_55_59])</f>
        <v>0</v>
      </c>
      <c r="K23" s="1003">
        <f>SUBTOTAL(109,Table_Default__XLS_TAB_18_2[AGE_LEVEL_UP_60])</f>
        <v>0</v>
      </c>
      <c r="L23" s="1003">
        <f>SUBTOTAL(109,Table_Default__XLS_TAB_18_2[AGE_LEVEL_NOT_STATED])</f>
        <v>0</v>
      </c>
      <c r="M23" s="1003">
        <f>SUBTOTAL(109,Table_Default__XLS_TAB_18_2[TOTAL])</f>
        <v>325</v>
      </c>
      <c r="N23" s="1004" t="s">
        <v>55</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24"/>
  <sheetViews>
    <sheetView rightToLeft="1" view="pageBreakPreview" topLeftCell="A7" zoomScaleNormal="100" zoomScaleSheetLayoutView="100" workbookViewId="0">
      <selection activeCell="K25" sqref="K25"/>
    </sheetView>
  </sheetViews>
  <sheetFormatPr defaultColWidth="9.140625" defaultRowHeight="12.75"/>
  <cols>
    <col min="1" max="1" width="21.7109375" style="1" customWidth="1"/>
    <col min="2" max="11" width="8.42578125" style="1" customWidth="1"/>
    <col min="12" max="12" width="10.42578125" style="1" customWidth="1"/>
    <col min="13" max="13" width="8.28515625" style="1" customWidth="1"/>
    <col min="14" max="14" width="21.7109375" style="1" customWidth="1"/>
    <col min="15" max="16384" width="9.140625" style="1"/>
  </cols>
  <sheetData>
    <row r="1" spans="1:18" s="2" customFormat="1" ht="21.75" customHeight="1">
      <c r="A1" s="1041" t="s">
        <v>263</v>
      </c>
      <c r="B1" s="1041"/>
      <c r="C1" s="1041"/>
      <c r="D1" s="1041"/>
      <c r="E1" s="1041"/>
      <c r="F1" s="1041"/>
      <c r="G1" s="1041"/>
      <c r="H1" s="1041"/>
      <c r="I1" s="1041"/>
      <c r="J1" s="1041"/>
      <c r="K1" s="1041"/>
      <c r="L1" s="1041"/>
      <c r="M1" s="1041"/>
      <c r="N1" s="1041"/>
    </row>
    <row r="2" spans="1:18" s="2" customFormat="1" ht="32.25" customHeight="1">
      <c r="A2" s="1068" t="s">
        <v>262</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t="s">
        <v>269</v>
      </c>
      <c r="B4" s="1069"/>
      <c r="C4" s="1069"/>
      <c r="D4" s="1069"/>
      <c r="E4" s="1069"/>
      <c r="F4" s="1069"/>
      <c r="G4" s="1069"/>
      <c r="H4" s="1069"/>
      <c r="I4" s="1069"/>
      <c r="J4" s="1069"/>
      <c r="K4" s="1069"/>
      <c r="L4" s="1069"/>
      <c r="M4" s="1069"/>
      <c r="N4" s="1069"/>
    </row>
    <row r="5" spans="1:18" s="2" customFormat="1" ht="15.75">
      <c r="A5" s="362"/>
      <c r="B5" s="362"/>
      <c r="C5" s="362"/>
      <c r="D5" s="362"/>
      <c r="E5" s="362"/>
      <c r="F5" s="362"/>
      <c r="G5" s="362"/>
      <c r="H5" s="362"/>
      <c r="I5" s="362"/>
      <c r="J5" s="362"/>
      <c r="K5" s="362"/>
      <c r="L5" s="362"/>
      <c r="M5" s="362"/>
      <c r="N5" s="362"/>
    </row>
    <row r="6" spans="1:18" ht="15.75">
      <c r="A6" s="374" t="s">
        <v>391</v>
      </c>
      <c r="B6" s="378"/>
      <c r="C6" s="378"/>
      <c r="D6" s="378"/>
      <c r="E6" s="378"/>
      <c r="F6" s="378"/>
      <c r="G6" s="378"/>
      <c r="H6" s="378"/>
      <c r="I6" s="378"/>
      <c r="J6" s="378"/>
      <c r="K6" s="378"/>
      <c r="L6" s="378"/>
      <c r="M6" s="378"/>
      <c r="N6" s="376" t="s">
        <v>392</v>
      </c>
    </row>
    <row r="7" spans="1:18" ht="26.25" customHeight="1" thickBot="1">
      <c r="A7" s="1131" t="s">
        <v>141</v>
      </c>
      <c r="B7" s="1119" t="s">
        <v>135</v>
      </c>
      <c r="C7" s="1119"/>
      <c r="D7" s="1119"/>
      <c r="E7" s="1119"/>
      <c r="F7" s="1119"/>
      <c r="G7" s="1119"/>
      <c r="H7" s="1119"/>
      <c r="I7" s="1119"/>
      <c r="J7" s="1119"/>
      <c r="K7" s="1119"/>
      <c r="L7" s="1119"/>
      <c r="M7" s="1119"/>
      <c r="N7" s="1138" t="s">
        <v>1075</v>
      </c>
    </row>
    <row r="8" spans="1:18" ht="35.25" customHeight="1">
      <c r="A8" s="1140"/>
      <c r="B8" s="323">
        <v>-20</v>
      </c>
      <c r="C8" s="323" t="s">
        <v>127</v>
      </c>
      <c r="D8" s="323" t="s">
        <v>126</v>
      </c>
      <c r="E8" s="323" t="s">
        <v>125</v>
      </c>
      <c r="F8" s="323" t="s">
        <v>124</v>
      </c>
      <c r="G8" s="323" t="s">
        <v>123</v>
      </c>
      <c r="H8" s="323" t="s">
        <v>122</v>
      </c>
      <c r="I8" s="323" t="s">
        <v>121</v>
      </c>
      <c r="J8" s="323" t="s">
        <v>120</v>
      </c>
      <c r="K8" s="323" t="s">
        <v>132</v>
      </c>
      <c r="L8" s="533" t="s">
        <v>617</v>
      </c>
      <c r="M8" s="533" t="s">
        <v>618</v>
      </c>
      <c r="N8" s="1141"/>
    </row>
    <row r="9" spans="1:18" ht="19.5" customHeight="1" thickBot="1">
      <c r="A9" s="810" t="s">
        <v>426</v>
      </c>
      <c r="B9" s="141">
        <v>2</v>
      </c>
      <c r="C9" s="141">
        <v>3</v>
      </c>
      <c r="D9" s="141">
        <v>0</v>
      </c>
      <c r="E9" s="141">
        <v>0</v>
      </c>
      <c r="F9" s="141">
        <v>0</v>
      </c>
      <c r="G9" s="141">
        <v>0</v>
      </c>
      <c r="H9" s="141">
        <v>0</v>
      </c>
      <c r="I9" s="141">
        <v>0</v>
      </c>
      <c r="J9" s="141">
        <v>0</v>
      </c>
      <c r="K9" s="141">
        <v>0</v>
      </c>
      <c r="L9" s="141">
        <v>0</v>
      </c>
      <c r="M9" s="306">
        <v>5</v>
      </c>
      <c r="N9" s="95" t="s">
        <v>426</v>
      </c>
    </row>
    <row r="10" spans="1:18" ht="19.5" customHeight="1" thickBot="1">
      <c r="A10" s="811" t="s">
        <v>127</v>
      </c>
      <c r="B10" s="142">
        <v>42</v>
      </c>
      <c r="C10" s="142">
        <v>186</v>
      </c>
      <c r="D10" s="142">
        <v>31</v>
      </c>
      <c r="E10" s="142">
        <v>3</v>
      </c>
      <c r="F10" s="142">
        <v>2</v>
      </c>
      <c r="G10" s="142">
        <v>0</v>
      </c>
      <c r="H10" s="142">
        <v>1</v>
      </c>
      <c r="I10" s="142">
        <v>1</v>
      </c>
      <c r="J10" s="142">
        <v>0</v>
      </c>
      <c r="K10" s="142">
        <v>0</v>
      </c>
      <c r="L10" s="141">
        <v>0</v>
      </c>
      <c r="M10" s="306">
        <v>266</v>
      </c>
      <c r="N10" s="168" t="s">
        <v>127</v>
      </c>
    </row>
    <row r="11" spans="1:18" ht="19.5" customHeight="1" thickBot="1">
      <c r="A11" s="811" t="s">
        <v>126</v>
      </c>
      <c r="B11" s="142">
        <v>37</v>
      </c>
      <c r="C11" s="142">
        <v>355</v>
      </c>
      <c r="D11" s="142">
        <v>277</v>
      </c>
      <c r="E11" s="142">
        <v>22</v>
      </c>
      <c r="F11" s="142">
        <v>4</v>
      </c>
      <c r="G11" s="142">
        <v>2</v>
      </c>
      <c r="H11" s="142">
        <v>1</v>
      </c>
      <c r="I11" s="142">
        <v>0</v>
      </c>
      <c r="J11" s="142">
        <v>0</v>
      </c>
      <c r="K11" s="142">
        <v>0</v>
      </c>
      <c r="L11" s="141">
        <v>0</v>
      </c>
      <c r="M11" s="306">
        <v>698</v>
      </c>
      <c r="N11" s="168" t="s">
        <v>126</v>
      </c>
    </row>
    <row r="12" spans="1:18" ht="19.5" customHeight="1" thickBot="1">
      <c r="A12" s="811" t="s">
        <v>125</v>
      </c>
      <c r="B12" s="142">
        <v>5</v>
      </c>
      <c r="C12" s="142">
        <v>76</v>
      </c>
      <c r="D12" s="142">
        <v>141</v>
      </c>
      <c r="E12" s="142">
        <v>86</v>
      </c>
      <c r="F12" s="142">
        <v>10</v>
      </c>
      <c r="G12" s="142">
        <v>6</v>
      </c>
      <c r="H12" s="142">
        <v>0</v>
      </c>
      <c r="I12" s="142">
        <v>1</v>
      </c>
      <c r="J12" s="142">
        <v>0</v>
      </c>
      <c r="K12" s="142">
        <v>0</v>
      </c>
      <c r="L12" s="141">
        <v>0</v>
      </c>
      <c r="M12" s="306">
        <v>325</v>
      </c>
      <c r="N12" s="168" t="s">
        <v>125</v>
      </c>
    </row>
    <row r="13" spans="1:18" ht="19.5" customHeight="1" thickBot="1">
      <c r="A13" s="811" t="s">
        <v>124</v>
      </c>
      <c r="B13" s="142">
        <v>0</v>
      </c>
      <c r="C13" s="142">
        <v>10</v>
      </c>
      <c r="D13" s="142">
        <v>42</v>
      </c>
      <c r="E13" s="142">
        <v>48</v>
      </c>
      <c r="F13" s="142">
        <v>34</v>
      </c>
      <c r="G13" s="142">
        <v>4</v>
      </c>
      <c r="H13" s="142">
        <v>1</v>
      </c>
      <c r="I13" s="142">
        <v>1</v>
      </c>
      <c r="J13" s="142">
        <v>1</v>
      </c>
      <c r="K13" s="142">
        <v>0</v>
      </c>
      <c r="L13" s="141">
        <v>0</v>
      </c>
      <c r="M13" s="306">
        <v>141</v>
      </c>
      <c r="N13" s="168" t="s">
        <v>124</v>
      </c>
    </row>
    <row r="14" spans="1:18" ht="19.5" customHeight="1" thickBot="1">
      <c r="A14" s="811" t="s">
        <v>123</v>
      </c>
      <c r="B14" s="142">
        <v>0</v>
      </c>
      <c r="C14" s="142">
        <v>0</v>
      </c>
      <c r="D14" s="142">
        <v>13</v>
      </c>
      <c r="E14" s="142">
        <v>29</v>
      </c>
      <c r="F14" s="142">
        <v>25</v>
      </c>
      <c r="G14" s="142">
        <v>17</v>
      </c>
      <c r="H14" s="142">
        <v>3</v>
      </c>
      <c r="I14" s="142">
        <v>0</v>
      </c>
      <c r="J14" s="142">
        <v>1</v>
      </c>
      <c r="K14" s="142">
        <v>0</v>
      </c>
      <c r="L14" s="141">
        <v>0</v>
      </c>
      <c r="M14" s="306">
        <v>88</v>
      </c>
      <c r="N14" s="168" t="s">
        <v>123</v>
      </c>
    </row>
    <row r="15" spans="1:18" ht="19.5" customHeight="1" thickBot="1">
      <c r="A15" s="811" t="s">
        <v>122</v>
      </c>
      <c r="B15" s="142">
        <v>0</v>
      </c>
      <c r="C15" s="142">
        <v>2</v>
      </c>
      <c r="D15" s="142">
        <v>2</v>
      </c>
      <c r="E15" s="142">
        <v>9</v>
      </c>
      <c r="F15" s="142">
        <v>24</v>
      </c>
      <c r="G15" s="142">
        <v>13</v>
      </c>
      <c r="H15" s="142">
        <v>8</v>
      </c>
      <c r="I15" s="142">
        <v>2</v>
      </c>
      <c r="J15" s="142">
        <v>0</v>
      </c>
      <c r="K15" s="142">
        <v>0</v>
      </c>
      <c r="L15" s="141">
        <v>0</v>
      </c>
      <c r="M15" s="306">
        <v>60</v>
      </c>
      <c r="N15" s="168" t="s">
        <v>122</v>
      </c>
    </row>
    <row r="16" spans="1:18" ht="19.5" customHeight="1" thickBot="1">
      <c r="A16" s="811" t="s">
        <v>121</v>
      </c>
      <c r="B16" s="142">
        <v>0</v>
      </c>
      <c r="C16" s="142">
        <v>0</v>
      </c>
      <c r="D16" s="142">
        <v>5</v>
      </c>
      <c r="E16" s="142">
        <v>6</v>
      </c>
      <c r="F16" s="142">
        <v>13</v>
      </c>
      <c r="G16" s="142">
        <v>11</v>
      </c>
      <c r="H16" s="142">
        <v>9</v>
      </c>
      <c r="I16" s="142">
        <v>0</v>
      </c>
      <c r="J16" s="142">
        <v>0</v>
      </c>
      <c r="K16" s="142">
        <v>0</v>
      </c>
      <c r="L16" s="141">
        <v>0</v>
      </c>
      <c r="M16" s="306">
        <v>44</v>
      </c>
      <c r="N16" s="168" t="s">
        <v>121</v>
      </c>
    </row>
    <row r="17" spans="1:14" ht="19.5" customHeight="1" thickBot="1">
      <c r="A17" s="811" t="s">
        <v>120</v>
      </c>
      <c r="B17" s="142">
        <v>0</v>
      </c>
      <c r="C17" s="142">
        <v>0</v>
      </c>
      <c r="D17" s="142">
        <v>2</v>
      </c>
      <c r="E17" s="142">
        <v>2</v>
      </c>
      <c r="F17" s="142">
        <v>9</v>
      </c>
      <c r="G17" s="142">
        <v>7</v>
      </c>
      <c r="H17" s="142">
        <v>5</v>
      </c>
      <c r="I17" s="142">
        <v>2</v>
      </c>
      <c r="J17" s="142">
        <v>2</v>
      </c>
      <c r="K17" s="142">
        <v>0</v>
      </c>
      <c r="L17" s="141">
        <v>0</v>
      </c>
      <c r="M17" s="306">
        <v>29</v>
      </c>
      <c r="N17" s="168" t="s">
        <v>120</v>
      </c>
    </row>
    <row r="18" spans="1:14" ht="19.5" customHeight="1" thickBot="1">
      <c r="A18" s="811" t="s">
        <v>119</v>
      </c>
      <c r="B18" s="142">
        <v>0</v>
      </c>
      <c r="C18" s="142">
        <v>0</v>
      </c>
      <c r="D18" s="142">
        <v>1</v>
      </c>
      <c r="E18" s="142">
        <v>1</v>
      </c>
      <c r="F18" s="142">
        <v>3</v>
      </c>
      <c r="G18" s="142">
        <v>2</v>
      </c>
      <c r="H18" s="142">
        <v>1</v>
      </c>
      <c r="I18" s="142">
        <v>2</v>
      </c>
      <c r="J18" s="142">
        <v>1</v>
      </c>
      <c r="K18" s="142">
        <v>0</v>
      </c>
      <c r="L18" s="141">
        <v>0</v>
      </c>
      <c r="M18" s="306">
        <v>11</v>
      </c>
      <c r="N18" s="168" t="s">
        <v>119</v>
      </c>
    </row>
    <row r="19" spans="1:14" ht="19.5" customHeight="1" thickBot="1">
      <c r="A19" s="811" t="s">
        <v>118</v>
      </c>
      <c r="B19" s="142">
        <v>0</v>
      </c>
      <c r="C19" s="142">
        <v>0</v>
      </c>
      <c r="D19" s="142">
        <v>0</v>
      </c>
      <c r="E19" s="142">
        <v>0</v>
      </c>
      <c r="F19" s="142">
        <v>4</v>
      </c>
      <c r="G19" s="142">
        <v>1</v>
      </c>
      <c r="H19" s="142">
        <v>1</v>
      </c>
      <c r="I19" s="142">
        <v>0</v>
      </c>
      <c r="J19" s="142">
        <v>0</v>
      </c>
      <c r="K19" s="142">
        <v>0</v>
      </c>
      <c r="L19" s="141">
        <v>0</v>
      </c>
      <c r="M19" s="306">
        <v>6</v>
      </c>
      <c r="N19" s="168" t="s">
        <v>118</v>
      </c>
    </row>
    <row r="20" spans="1:14" ht="19.5" customHeight="1" thickBot="1">
      <c r="A20" s="811" t="s">
        <v>117</v>
      </c>
      <c r="B20" s="142">
        <v>0</v>
      </c>
      <c r="C20" s="142">
        <v>0</v>
      </c>
      <c r="D20" s="142">
        <v>0</v>
      </c>
      <c r="E20" s="142">
        <v>0</v>
      </c>
      <c r="F20" s="142">
        <v>0</v>
      </c>
      <c r="G20" s="142">
        <v>0</v>
      </c>
      <c r="H20" s="142">
        <v>0</v>
      </c>
      <c r="I20" s="142">
        <v>0</v>
      </c>
      <c r="J20" s="142">
        <v>0</v>
      </c>
      <c r="K20" s="142">
        <v>0</v>
      </c>
      <c r="L20" s="141">
        <v>0</v>
      </c>
      <c r="M20" s="306">
        <v>0</v>
      </c>
      <c r="N20" s="168" t="s">
        <v>117</v>
      </c>
    </row>
    <row r="21" spans="1:14" ht="19.5" customHeight="1" thickBot="1">
      <c r="A21" s="811" t="s">
        <v>116</v>
      </c>
      <c r="B21" s="142">
        <v>0</v>
      </c>
      <c r="C21" s="142">
        <v>0</v>
      </c>
      <c r="D21" s="142">
        <v>0</v>
      </c>
      <c r="E21" s="142">
        <v>0</v>
      </c>
      <c r="F21" s="142">
        <v>0</v>
      </c>
      <c r="G21" s="142">
        <v>1</v>
      </c>
      <c r="H21" s="142">
        <v>0</v>
      </c>
      <c r="I21" s="142">
        <v>0</v>
      </c>
      <c r="J21" s="142">
        <v>0</v>
      </c>
      <c r="K21" s="142">
        <v>0</v>
      </c>
      <c r="L21" s="141">
        <v>0</v>
      </c>
      <c r="M21" s="306">
        <v>1</v>
      </c>
      <c r="N21" s="168" t="s">
        <v>116</v>
      </c>
    </row>
    <row r="22" spans="1:14" ht="19.5" customHeight="1">
      <c r="A22" s="812" t="s">
        <v>14</v>
      </c>
      <c r="B22" s="143">
        <v>0</v>
      </c>
      <c r="C22" s="143">
        <v>0</v>
      </c>
      <c r="D22" s="143">
        <v>1</v>
      </c>
      <c r="E22" s="143">
        <v>0</v>
      </c>
      <c r="F22" s="143">
        <v>0</v>
      </c>
      <c r="G22" s="143">
        <v>0</v>
      </c>
      <c r="H22" s="143">
        <v>0</v>
      </c>
      <c r="I22" s="143">
        <v>0</v>
      </c>
      <c r="J22" s="143">
        <v>0</v>
      </c>
      <c r="K22" s="143">
        <v>0</v>
      </c>
      <c r="L22" s="167">
        <v>0</v>
      </c>
      <c r="M22" s="446">
        <v>1</v>
      </c>
      <c r="N22" s="169" t="s">
        <v>15</v>
      </c>
    </row>
    <row r="23" spans="1:14" ht="19.5" customHeight="1">
      <c r="A23" s="1000" t="s">
        <v>16</v>
      </c>
      <c r="B23" s="971">
        <f>SUBTOTAL(109,Table_Default__XLS_TAB_18_3[AGE_LEVEL_LESS_20])</f>
        <v>86</v>
      </c>
      <c r="C23" s="971">
        <f>SUBTOTAL(109,Table_Default__XLS_TAB_18_3[AGE_LEVEL_20_24])</f>
        <v>632</v>
      </c>
      <c r="D23" s="971">
        <f>SUBTOTAL(109,Table_Default__XLS_TAB_18_3[AGE_LEVEL_25_29])</f>
        <v>515</v>
      </c>
      <c r="E23" s="971">
        <f>SUBTOTAL(109,Table_Default__XLS_TAB_18_3[AGE_LEVEL_30_34])</f>
        <v>206</v>
      </c>
      <c r="F23" s="971">
        <f>SUBTOTAL(109,Table_Default__XLS_TAB_18_3[AGE_LEVEL_35_39])</f>
        <v>128</v>
      </c>
      <c r="G23" s="971">
        <f>SUBTOTAL(109,Table_Default__XLS_TAB_18_3[AGE_LEVEL_40_44])</f>
        <v>64</v>
      </c>
      <c r="H23" s="971">
        <f>SUBTOTAL(109,Table_Default__XLS_TAB_18_3[AGE_LEVEL_45_49])</f>
        <v>30</v>
      </c>
      <c r="I23" s="971">
        <f>SUBTOTAL(109,Table_Default__XLS_TAB_18_3[AGE_LEVEL_50_54])</f>
        <v>9</v>
      </c>
      <c r="J23" s="971">
        <f>SUBTOTAL(109,Table_Default__XLS_TAB_18_3[AGE_LEVEL_55_59])</f>
        <v>5</v>
      </c>
      <c r="K23" s="971">
        <f>SUBTOTAL(109,Table_Default__XLS_TAB_18_3[AGE_LEVEL_UP_60])</f>
        <v>0</v>
      </c>
      <c r="L23" s="971">
        <f>SUBTOTAL(109,Table_Default__XLS_TAB_18_3[AGE_LEVEL_NOT_STATED])</f>
        <v>0</v>
      </c>
      <c r="M23" s="1005">
        <f>SUBTOTAL(109,Table_Default__XLS_TAB_18_3[TOTAL])</f>
        <v>1675</v>
      </c>
      <c r="N23" s="1001" t="s">
        <v>55</v>
      </c>
    </row>
    <row r="24" spans="1:14">
      <c r="A24" s="2"/>
      <c r="B24" s="2"/>
      <c r="C24" s="2"/>
      <c r="D24" s="2"/>
      <c r="E24" s="2"/>
      <c r="F24" s="2"/>
      <c r="G24" s="2"/>
      <c r="H24" s="2"/>
      <c r="I24" s="2"/>
      <c r="J24" s="2"/>
      <c r="K24" s="2"/>
      <c r="L24" s="2"/>
      <c r="M24" s="2"/>
      <c r="N24" s="2"/>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N29"/>
  <sheetViews>
    <sheetView rightToLeft="1" view="pageBreakPreview" zoomScaleNormal="75" workbookViewId="0">
      <selection activeCell="K20" sqref="K20"/>
    </sheetView>
  </sheetViews>
  <sheetFormatPr defaultColWidth="9.140625" defaultRowHeight="12.75"/>
  <cols>
    <col min="1" max="1" width="16.85546875" style="2" customWidth="1"/>
    <col min="2" max="2" width="10.5703125" style="2" customWidth="1"/>
    <col min="3" max="9" width="8" style="2" customWidth="1"/>
    <col min="10" max="10" width="9.7109375" style="2" customWidth="1"/>
    <col min="11" max="11" width="8" style="2" customWidth="1"/>
    <col min="12" max="12" width="10.7109375" style="2" customWidth="1"/>
    <col min="13" max="13" width="12.5703125" style="174" customWidth="1"/>
    <col min="14" max="14" width="18.85546875" style="2" customWidth="1"/>
    <col min="15" max="16384" width="9.140625" style="2"/>
  </cols>
  <sheetData>
    <row r="1" spans="1:14" ht="24" customHeight="1">
      <c r="A1" s="1041" t="s">
        <v>674</v>
      </c>
      <c r="B1" s="1041"/>
      <c r="C1" s="1041"/>
      <c r="D1" s="1142"/>
      <c r="E1" s="1041"/>
      <c r="F1" s="1041"/>
      <c r="G1" s="1041"/>
      <c r="H1" s="1041"/>
      <c r="I1" s="1041"/>
      <c r="J1" s="1041"/>
      <c r="K1" s="1041"/>
      <c r="L1" s="1041"/>
      <c r="M1" s="1041"/>
      <c r="N1" s="1041"/>
    </row>
    <row r="2" spans="1:14" s="3" customFormat="1" ht="18" customHeight="1">
      <c r="A2" s="1068" t="s">
        <v>560</v>
      </c>
      <c r="B2" s="1068"/>
      <c r="C2" s="1068"/>
      <c r="D2" s="1068"/>
      <c r="E2" s="1068"/>
      <c r="F2" s="1068"/>
      <c r="G2" s="1068"/>
      <c r="H2" s="1068"/>
      <c r="I2" s="1068"/>
      <c r="J2" s="1068"/>
      <c r="K2" s="1068"/>
      <c r="L2" s="1068"/>
      <c r="M2" s="1068"/>
      <c r="N2" s="1068"/>
    </row>
    <row r="3" spans="1:14" ht="15.75">
      <c r="A3" s="1069">
        <v>2021</v>
      </c>
      <c r="B3" s="1069"/>
      <c r="C3" s="1069"/>
      <c r="D3" s="1069"/>
      <c r="E3" s="1069"/>
      <c r="F3" s="1069"/>
      <c r="G3" s="1069"/>
      <c r="H3" s="1069"/>
      <c r="I3" s="1069"/>
      <c r="J3" s="1069"/>
      <c r="K3" s="1069"/>
      <c r="L3" s="1069"/>
      <c r="M3" s="1069"/>
      <c r="N3" s="1069"/>
    </row>
    <row r="4" spans="1:14" ht="15.75">
      <c r="A4" s="1069"/>
      <c r="B4" s="1069"/>
      <c r="C4" s="1069"/>
      <c r="D4" s="1069"/>
      <c r="E4" s="1069"/>
      <c r="F4" s="1069"/>
      <c r="G4" s="1069"/>
      <c r="H4" s="1069"/>
      <c r="I4" s="1069"/>
      <c r="J4" s="1069"/>
      <c r="K4" s="1069"/>
      <c r="L4" s="1069"/>
      <c r="M4" s="1069"/>
      <c r="N4" s="1069"/>
    </row>
    <row r="5" spans="1:14" ht="15.75">
      <c r="A5" s="374" t="s">
        <v>288</v>
      </c>
      <c r="B5" s="374"/>
      <c r="C5" s="379"/>
      <c r="D5" s="379"/>
      <c r="E5" s="379"/>
      <c r="F5" s="379"/>
      <c r="G5" s="379"/>
      <c r="H5" s="379"/>
      <c r="I5" s="379"/>
      <c r="J5" s="379"/>
      <c r="K5" s="379"/>
      <c r="L5" s="379"/>
      <c r="M5" s="380"/>
      <c r="N5" s="376" t="s">
        <v>395</v>
      </c>
    </row>
    <row r="6" spans="1:14" ht="30.75" customHeight="1" thickBot="1">
      <c r="A6" s="1131" t="s">
        <v>245</v>
      </c>
      <c r="B6" s="1146" t="s">
        <v>286</v>
      </c>
      <c r="C6" s="1168" t="s">
        <v>529</v>
      </c>
      <c r="D6" s="1168"/>
      <c r="E6" s="1168"/>
      <c r="F6" s="1168"/>
      <c r="G6" s="1168"/>
      <c r="H6" s="1168"/>
      <c r="I6" s="1168"/>
      <c r="J6" s="1168"/>
      <c r="K6" s="1168"/>
      <c r="L6" s="1146" t="s">
        <v>619</v>
      </c>
      <c r="M6" s="1169" t="s">
        <v>285</v>
      </c>
      <c r="N6" s="1138" t="s">
        <v>284</v>
      </c>
    </row>
    <row r="7" spans="1:14" ht="31.5" customHeight="1">
      <c r="A7" s="1140"/>
      <c r="B7" s="1147"/>
      <c r="C7" s="323">
        <v>0</v>
      </c>
      <c r="D7" s="323">
        <v>1</v>
      </c>
      <c r="E7" s="323">
        <v>2</v>
      </c>
      <c r="F7" s="323">
        <v>3</v>
      </c>
      <c r="G7" s="323">
        <v>4</v>
      </c>
      <c r="H7" s="323">
        <v>5</v>
      </c>
      <c r="I7" s="323" t="s">
        <v>4</v>
      </c>
      <c r="J7" s="533" t="s">
        <v>617</v>
      </c>
      <c r="K7" s="533" t="s">
        <v>618</v>
      </c>
      <c r="L7" s="1171"/>
      <c r="M7" s="1170"/>
      <c r="N7" s="1141"/>
    </row>
    <row r="8" spans="1:14" ht="23.25" customHeight="1" thickBot="1">
      <c r="A8" s="1164" t="s">
        <v>273</v>
      </c>
      <c r="B8" s="816" t="s">
        <v>278</v>
      </c>
      <c r="C8" s="175">
        <v>1929</v>
      </c>
      <c r="D8" s="175">
        <v>55</v>
      </c>
      <c r="E8" s="175">
        <v>46</v>
      </c>
      <c r="F8" s="175">
        <v>32</v>
      </c>
      <c r="G8" s="175">
        <v>28</v>
      </c>
      <c r="H8" s="175">
        <v>28</v>
      </c>
      <c r="I8" s="175">
        <v>42</v>
      </c>
      <c r="J8" s="175">
        <v>0</v>
      </c>
      <c r="K8" s="170">
        <f>SUM(C8:J8)</f>
        <v>2160</v>
      </c>
      <c r="L8" s="426">
        <f>K8/K16%</f>
        <v>49.202733485193626</v>
      </c>
      <c r="M8" s="819" t="s">
        <v>277</v>
      </c>
      <c r="N8" s="1163" t="s">
        <v>283</v>
      </c>
    </row>
    <row r="9" spans="1:14" ht="23.25" customHeight="1" thickBot="1">
      <c r="A9" s="1165"/>
      <c r="B9" s="817" t="s">
        <v>276</v>
      </c>
      <c r="C9" s="176">
        <v>0</v>
      </c>
      <c r="D9" s="176">
        <v>55</v>
      </c>
      <c r="E9" s="176">
        <v>92</v>
      </c>
      <c r="F9" s="176">
        <v>96</v>
      </c>
      <c r="G9" s="176">
        <v>112</v>
      </c>
      <c r="H9" s="176">
        <v>140</v>
      </c>
      <c r="I9" s="176">
        <v>326</v>
      </c>
      <c r="J9" s="176">
        <v>0</v>
      </c>
      <c r="K9" s="171">
        <f t="shared" ref="K9:K15" si="0">SUM(C9:J9)</f>
        <v>821</v>
      </c>
      <c r="L9" s="427">
        <f>K9/K17%</f>
        <v>42.059426229508198</v>
      </c>
      <c r="M9" s="820" t="s">
        <v>451</v>
      </c>
      <c r="N9" s="1161"/>
    </row>
    <row r="10" spans="1:14" ht="23.25" customHeight="1" thickBot="1">
      <c r="A10" s="1166" t="s">
        <v>282</v>
      </c>
      <c r="B10" s="818" t="s">
        <v>278</v>
      </c>
      <c r="C10" s="177">
        <v>199</v>
      </c>
      <c r="D10" s="177">
        <v>10</v>
      </c>
      <c r="E10" s="177">
        <v>6</v>
      </c>
      <c r="F10" s="177">
        <v>11</v>
      </c>
      <c r="G10" s="177">
        <v>18</v>
      </c>
      <c r="H10" s="177">
        <v>10</v>
      </c>
      <c r="I10" s="177">
        <v>15</v>
      </c>
      <c r="J10" s="177">
        <v>0</v>
      </c>
      <c r="K10" s="17">
        <f t="shared" si="0"/>
        <v>269</v>
      </c>
      <c r="L10" s="428">
        <f>K10/K16%</f>
        <v>6.1275626423690204</v>
      </c>
      <c r="M10" s="821" t="s">
        <v>277</v>
      </c>
      <c r="N10" s="1160" t="s">
        <v>281</v>
      </c>
    </row>
    <row r="11" spans="1:14" ht="23.25" customHeight="1" thickBot="1">
      <c r="A11" s="1166"/>
      <c r="B11" s="818" t="s">
        <v>276</v>
      </c>
      <c r="C11" s="177">
        <v>0</v>
      </c>
      <c r="D11" s="177">
        <v>10</v>
      </c>
      <c r="E11" s="177">
        <v>12</v>
      </c>
      <c r="F11" s="177">
        <v>33</v>
      </c>
      <c r="G11" s="177">
        <v>72</v>
      </c>
      <c r="H11" s="177">
        <v>50</v>
      </c>
      <c r="I11" s="177">
        <v>119</v>
      </c>
      <c r="J11" s="177">
        <v>0</v>
      </c>
      <c r="K11" s="17">
        <f t="shared" si="0"/>
        <v>296</v>
      </c>
      <c r="L11" s="428">
        <f>K11/K17%</f>
        <v>15.163934426229508</v>
      </c>
      <c r="M11" s="821" t="s">
        <v>451</v>
      </c>
      <c r="N11" s="1160"/>
    </row>
    <row r="12" spans="1:14" ht="23.25" customHeight="1" thickBot="1">
      <c r="A12" s="1165" t="s">
        <v>271</v>
      </c>
      <c r="B12" s="817" t="s">
        <v>278</v>
      </c>
      <c r="C12" s="176">
        <v>100</v>
      </c>
      <c r="D12" s="176">
        <v>2</v>
      </c>
      <c r="E12" s="176">
        <v>3</v>
      </c>
      <c r="F12" s="176">
        <v>4</v>
      </c>
      <c r="G12" s="176">
        <v>3</v>
      </c>
      <c r="H12" s="176">
        <v>1</v>
      </c>
      <c r="I12" s="176">
        <v>3</v>
      </c>
      <c r="J12" s="176">
        <v>0</v>
      </c>
      <c r="K12" s="171">
        <f t="shared" si="0"/>
        <v>116</v>
      </c>
      <c r="L12" s="427">
        <f>K12/K16%</f>
        <v>2.642369020501139</v>
      </c>
      <c r="M12" s="820" t="s">
        <v>277</v>
      </c>
      <c r="N12" s="1161" t="s">
        <v>280</v>
      </c>
    </row>
    <row r="13" spans="1:14" ht="23.25" customHeight="1" thickBot="1">
      <c r="A13" s="1165"/>
      <c r="B13" s="817" t="s">
        <v>276</v>
      </c>
      <c r="C13" s="176">
        <v>0</v>
      </c>
      <c r="D13" s="176">
        <v>2</v>
      </c>
      <c r="E13" s="176">
        <v>6</v>
      </c>
      <c r="F13" s="176">
        <v>12</v>
      </c>
      <c r="G13" s="176">
        <v>12</v>
      </c>
      <c r="H13" s="176">
        <v>5</v>
      </c>
      <c r="I13" s="176">
        <v>20</v>
      </c>
      <c r="J13" s="176">
        <v>0</v>
      </c>
      <c r="K13" s="171">
        <f t="shared" si="0"/>
        <v>57</v>
      </c>
      <c r="L13" s="427">
        <f>K13/K17%</f>
        <v>2.9200819672131146</v>
      </c>
      <c r="M13" s="820" t="s">
        <v>451</v>
      </c>
      <c r="N13" s="1161"/>
    </row>
    <row r="14" spans="1:14" ht="23.25" customHeight="1" thickBot="1">
      <c r="A14" s="1166" t="s">
        <v>270</v>
      </c>
      <c r="B14" s="818" t="s">
        <v>278</v>
      </c>
      <c r="C14" s="177">
        <v>1570</v>
      </c>
      <c r="D14" s="177">
        <v>60</v>
      </c>
      <c r="E14" s="177">
        <v>84</v>
      </c>
      <c r="F14" s="177">
        <v>55</v>
      </c>
      <c r="G14" s="177">
        <v>35</v>
      </c>
      <c r="H14" s="177">
        <v>26</v>
      </c>
      <c r="I14" s="177">
        <v>15</v>
      </c>
      <c r="J14" s="177">
        <v>0</v>
      </c>
      <c r="K14" s="17">
        <f t="shared" si="0"/>
        <v>1845</v>
      </c>
      <c r="L14" s="428">
        <f>K14/K16%</f>
        <v>42.027334851936217</v>
      </c>
      <c r="M14" s="821" t="s">
        <v>277</v>
      </c>
      <c r="N14" s="1160" t="s">
        <v>279</v>
      </c>
    </row>
    <row r="15" spans="1:14" ht="23.25" customHeight="1">
      <c r="A15" s="1167"/>
      <c r="B15" s="776" t="s">
        <v>276</v>
      </c>
      <c r="C15" s="178">
        <v>0</v>
      </c>
      <c r="D15" s="178">
        <v>60</v>
      </c>
      <c r="E15" s="178">
        <v>168</v>
      </c>
      <c r="F15" s="178">
        <v>165</v>
      </c>
      <c r="G15" s="178">
        <v>140</v>
      </c>
      <c r="H15" s="178">
        <v>130</v>
      </c>
      <c r="I15" s="178">
        <v>115</v>
      </c>
      <c r="J15" s="178">
        <v>0</v>
      </c>
      <c r="K15" s="53">
        <f t="shared" si="0"/>
        <v>778</v>
      </c>
      <c r="L15" s="429">
        <f>K15/K17%</f>
        <v>39.856557377049178</v>
      </c>
      <c r="M15" s="822" t="s">
        <v>451</v>
      </c>
      <c r="N15" s="1162"/>
    </row>
    <row r="16" spans="1:14" ht="23.25" customHeight="1" thickBot="1">
      <c r="A16" s="1158" t="s">
        <v>187</v>
      </c>
      <c r="B16" s="816" t="s">
        <v>278</v>
      </c>
      <c r="C16" s="170">
        <f t="shared" ref="C16:J17" si="1">C8+C10+C12+C14</f>
        <v>3798</v>
      </c>
      <c r="D16" s="170">
        <f t="shared" si="1"/>
        <v>127</v>
      </c>
      <c r="E16" s="170">
        <f t="shared" si="1"/>
        <v>139</v>
      </c>
      <c r="F16" s="170">
        <f t="shared" si="1"/>
        <v>102</v>
      </c>
      <c r="G16" s="170">
        <f t="shared" si="1"/>
        <v>84</v>
      </c>
      <c r="H16" s="170">
        <f t="shared" si="1"/>
        <v>65</v>
      </c>
      <c r="I16" s="170">
        <f>I8+I10+I12+I14</f>
        <v>75</v>
      </c>
      <c r="J16" s="170">
        <f t="shared" si="1"/>
        <v>0</v>
      </c>
      <c r="K16" s="170">
        <f>SUM(C16:J16)</f>
        <v>4390</v>
      </c>
      <c r="L16" s="426">
        <f>L8+L10+L12+L14</f>
        <v>100</v>
      </c>
      <c r="M16" s="819" t="s">
        <v>277</v>
      </c>
      <c r="N16" s="1156" t="s">
        <v>17</v>
      </c>
    </row>
    <row r="17" spans="1:14" ht="23.25" customHeight="1">
      <c r="A17" s="1159"/>
      <c r="B17" s="420" t="s">
        <v>276</v>
      </c>
      <c r="C17" s="172">
        <f t="shared" si="1"/>
        <v>0</v>
      </c>
      <c r="D17" s="172">
        <f>D9+D11+D13+D15</f>
        <v>127</v>
      </c>
      <c r="E17" s="172">
        <f t="shared" si="1"/>
        <v>278</v>
      </c>
      <c r="F17" s="172">
        <f>F9+F11+F13+F15</f>
        <v>306</v>
      </c>
      <c r="G17" s="172">
        <f t="shared" si="1"/>
        <v>336</v>
      </c>
      <c r="H17" s="172">
        <f t="shared" si="1"/>
        <v>325</v>
      </c>
      <c r="I17" s="172">
        <f t="shared" si="1"/>
        <v>580</v>
      </c>
      <c r="J17" s="172">
        <f t="shared" si="1"/>
        <v>0</v>
      </c>
      <c r="K17" s="172">
        <f>SUM(C17:J17)</f>
        <v>1952</v>
      </c>
      <c r="L17" s="430">
        <f>L9+L11+L13+L15</f>
        <v>100</v>
      </c>
      <c r="M17" s="421" t="s">
        <v>451</v>
      </c>
      <c r="N17" s="1157"/>
    </row>
    <row r="18" spans="1:14">
      <c r="C18" s="352"/>
      <c r="D18" s="352"/>
      <c r="E18" s="352"/>
      <c r="F18" s="352"/>
      <c r="G18" s="352"/>
      <c r="H18" s="352"/>
      <c r="I18" s="352"/>
      <c r="J18" s="352"/>
      <c r="K18" s="352"/>
      <c r="L18" s="352"/>
    </row>
    <row r="25" spans="1:14" ht="39" thickBot="1">
      <c r="B25" s="173" t="s">
        <v>274</v>
      </c>
      <c r="C25" s="173" t="s">
        <v>527</v>
      </c>
    </row>
    <row r="26" spans="1:14" ht="12.75" customHeight="1" thickBot="1">
      <c r="A26" s="63" t="s">
        <v>273</v>
      </c>
    </row>
    <row r="27" spans="1:14" ht="13.5" customHeight="1" thickBot="1">
      <c r="A27" s="63" t="s">
        <v>272</v>
      </c>
    </row>
    <row r="28" spans="1:14" ht="12.75" customHeight="1" thickBot="1">
      <c r="A28" s="63" t="s">
        <v>271</v>
      </c>
    </row>
    <row r="29" spans="1:14" ht="13.5" customHeight="1">
      <c r="A29" s="63" t="s">
        <v>270</v>
      </c>
    </row>
  </sheetData>
  <mergeCells count="20">
    <mergeCell ref="A1:N1"/>
    <mergeCell ref="A2:N2"/>
    <mergeCell ref="A3:N3"/>
    <mergeCell ref="A4:N4"/>
    <mergeCell ref="A6:A7"/>
    <mergeCell ref="C6:K6"/>
    <mergeCell ref="M6:M7"/>
    <mergeCell ref="N6:N7"/>
    <mergeCell ref="B6:B7"/>
    <mergeCell ref="L6:L7"/>
    <mergeCell ref="N8:N9"/>
    <mergeCell ref="A8:A9"/>
    <mergeCell ref="A10:A11"/>
    <mergeCell ref="A12:A13"/>
    <mergeCell ref="A14:A15"/>
    <mergeCell ref="N16:N17"/>
    <mergeCell ref="A16:A17"/>
    <mergeCell ref="N10:N11"/>
    <mergeCell ref="N12:N13"/>
    <mergeCell ref="N14:N15"/>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N29"/>
  <sheetViews>
    <sheetView rightToLeft="1" view="pageBreakPreview" topLeftCell="A4" zoomScaleNormal="75" zoomScaleSheetLayoutView="100" workbookViewId="0">
      <selection activeCell="L22" sqref="L22"/>
    </sheetView>
  </sheetViews>
  <sheetFormatPr defaultColWidth="9.140625" defaultRowHeight="12.75"/>
  <cols>
    <col min="1" max="1" width="16.85546875" style="2" customWidth="1"/>
    <col min="2" max="2" width="11.7109375" style="2" customWidth="1"/>
    <col min="3" max="11" width="7.85546875" style="2" customWidth="1"/>
    <col min="12" max="12" width="10.7109375" style="2" customWidth="1"/>
    <col min="13" max="13" width="12.5703125" style="174" customWidth="1"/>
    <col min="14" max="14" width="24.7109375" style="2" customWidth="1"/>
    <col min="15" max="16384" width="9.140625" style="2"/>
  </cols>
  <sheetData>
    <row r="1" spans="1:14" ht="24" customHeight="1">
      <c r="A1" s="1041" t="s">
        <v>675</v>
      </c>
      <c r="B1" s="1041"/>
      <c r="C1" s="1041"/>
      <c r="D1" s="1142"/>
      <c r="E1" s="1041"/>
      <c r="F1" s="1041"/>
      <c r="G1" s="1041"/>
      <c r="H1" s="1041"/>
      <c r="I1" s="1041"/>
      <c r="J1" s="1041"/>
      <c r="K1" s="1041"/>
      <c r="L1" s="1041"/>
      <c r="M1" s="1041"/>
      <c r="N1" s="1041"/>
    </row>
    <row r="2" spans="1:14" s="3" customFormat="1" ht="18" customHeight="1">
      <c r="A2" s="1068" t="s">
        <v>540</v>
      </c>
      <c r="B2" s="1068"/>
      <c r="C2" s="1068"/>
      <c r="D2" s="1068"/>
      <c r="E2" s="1068"/>
      <c r="F2" s="1068"/>
      <c r="G2" s="1068"/>
      <c r="H2" s="1068"/>
      <c r="I2" s="1068"/>
      <c r="J2" s="1068"/>
      <c r="K2" s="1068"/>
      <c r="L2" s="1068"/>
      <c r="M2" s="1068"/>
      <c r="N2" s="1068"/>
    </row>
    <row r="3" spans="1:14" ht="15.75">
      <c r="A3" s="1069">
        <v>2021</v>
      </c>
      <c r="B3" s="1069"/>
      <c r="C3" s="1069"/>
      <c r="D3" s="1069"/>
      <c r="E3" s="1069"/>
      <c r="F3" s="1069"/>
      <c r="G3" s="1069"/>
      <c r="H3" s="1069"/>
      <c r="I3" s="1069"/>
      <c r="J3" s="1069"/>
      <c r="K3" s="1069"/>
      <c r="L3" s="1069"/>
      <c r="M3" s="1069"/>
      <c r="N3" s="1069"/>
    </row>
    <row r="4" spans="1:14" ht="15.75">
      <c r="A4" s="1069"/>
      <c r="B4" s="1069"/>
      <c r="C4" s="1069"/>
      <c r="D4" s="1069"/>
      <c r="E4" s="1069"/>
      <c r="F4" s="1069"/>
      <c r="G4" s="1069"/>
      <c r="H4" s="1069"/>
      <c r="I4" s="1069"/>
      <c r="J4" s="1069"/>
      <c r="K4" s="1069"/>
      <c r="L4" s="1069"/>
      <c r="M4" s="1069"/>
      <c r="N4" s="1069"/>
    </row>
    <row r="5" spans="1:14" ht="15.75">
      <c r="A5" s="374" t="s">
        <v>290</v>
      </c>
      <c r="B5" s="374"/>
      <c r="C5" s="379"/>
      <c r="D5" s="379"/>
      <c r="E5" s="379"/>
      <c r="F5" s="379"/>
      <c r="G5" s="379"/>
      <c r="H5" s="379"/>
      <c r="I5" s="379"/>
      <c r="J5" s="379"/>
      <c r="K5" s="379"/>
      <c r="L5" s="379"/>
      <c r="M5" s="380"/>
      <c r="N5" s="376" t="s">
        <v>396</v>
      </c>
    </row>
    <row r="6" spans="1:14" ht="30.75" customHeight="1" thickBot="1">
      <c r="A6" s="1131" t="s">
        <v>245</v>
      </c>
      <c r="B6" s="1146" t="s">
        <v>286</v>
      </c>
      <c r="C6" s="1168" t="s">
        <v>529</v>
      </c>
      <c r="D6" s="1168"/>
      <c r="E6" s="1168"/>
      <c r="F6" s="1168"/>
      <c r="G6" s="1168"/>
      <c r="H6" s="1168"/>
      <c r="I6" s="1168"/>
      <c r="J6" s="1168"/>
      <c r="K6" s="1168"/>
      <c r="L6" s="1146" t="s">
        <v>619</v>
      </c>
      <c r="M6" s="1169" t="s">
        <v>285</v>
      </c>
      <c r="N6" s="1138" t="s">
        <v>284</v>
      </c>
    </row>
    <row r="7" spans="1:14" ht="41.25" customHeight="1">
      <c r="A7" s="1140"/>
      <c r="B7" s="1147"/>
      <c r="C7" s="323">
        <v>0</v>
      </c>
      <c r="D7" s="323">
        <v>1</v>
      </c>
      <c r="E7" s="323">
        <v>2</v>
      </c>
      <c r="F7" s="323">
        <v>3</v>
      </c>
      <c r="G7" s="323">
        <v>4</v>
      </c>
      <c r="H7" s="323">
        <v>5</v>
      </c>
      <c r="I7" s="323" t="s">
        <v>4</v>
      </c>
      <c r="J7" s="533" t="s">
        <v>617</v>
      </c>
      <c r="K7" s="533" t="s">
        <v>618</v>
      </c>
      <c r="L7" s="1171"/>
      <c r="M7" s="1170"/>
      <c r="N7" s="1141"/>
    </row>
    <row r="8" spans="1:14" ht="24" customHeight="1" thickBot="1">
      <c r="A8" s="1172" t="s">
        <v>273</v>
      </c>
      <c r="B8" s="823" t="s">
        <v>278</v>
      </c>
      <c r="C8" s="185">
        <v>2032</v>
      </c>
      <c r="D8" s="186">
        <v>46</v>
      </c>
      <c r="E8" s="186">
        <v>35</v>
      </c>
      <c r="F8" s="186">
        <v>20</v>
      </c>
      <c r="G8" s="186">
        <v>10</v>
      </c>
      <c r="H8" s="186">
        <v>9</v>
      </c>
      <c r="I8" s="186">
        <v>8</v>
      </c>
      <c r="J8" s="187">
        <v>0</v>
      </c>
      <c r="K8" s="188">
        <f>SUM(C8:J8)</f>
        <v>2160</v>
      </c>
      <c r="L8" s="426">
        <f>K8/K16%</f>
        <v>49.202733485193626</v>
      </c>
      <c r="M8" s="416" t="s">
        <v>277</v>
      </c>
      <c r="N8" s="1173" t="s">
        <v>283</v>
      </c>
    </row>
    <row r="9" spans="1:14" ht="24" customHeight="1" thickBot="1">
      <c r="A9" s="1165"/>
      <c r="B9" s="817" t="s">
        <v>276</v>
      </c>
      <c r="C9" s="179">
        <v>0</v>
      </c>
      <c r="D9" s="176">
        <v>46</v>
      </c>
      <c r="E9" s="176">
        <v>70</v>
      </c>
      <c r="F9" s="176">
        <v>60</v>
      </c>
      <c r="G9" s="176">
        <v>40</v>
      </c>
      <c r="H9" s="176">
        <v>45</v>
      </c>
      <c r="I9" s="176">
        <v>53</v>
      </c>
      <c r="J9" s="182">
        <v>0</v>
      </c>
      <c r="K9" s="171">
        <f>SUM(C9:J9)</f>
        <v>314</v>
      </c>
      <c r="L9" s="427">
        <f>K9/K17%</f>
        <v>56.474820143884898</v>
      </c>
      <c r="M9" s="820" t="s">
        <v>451</v>
      </c>
      <c r="N9" s="1161"/>
    </row>
    <row r="10" spans="1:14" ht="24" customHeight="1" thickBot="1">
      <c r="A10" s="1166" t="s">
        <v>282</v>
      </c>
      <c r="B10" s="818" t="s">
        <v>278</v>
      </c>
      <c r="C10" s="180">
        <v>248</v>
      </c>
      <c r="D10" s="177">
        <v>9</v>
      </c>
      <c r="E10" s="177">
        <v>7</v>
      </c>
      <c r="F10" s="177">
        <v>3</v>
      </c>
      <c r="G10" s="177">
        <v>1</v>
      </c>
      <c r="H10" s="177">
        <v>0</v>
      </c>
      <c r="I10" s="177">
        <v>1</v>
      </c>
      <c r="J10" s="183">
        <v>0</v>
      </c>
      <c r="K10" s="17">
        <f>SUM(C10:J10)</f>
        <v>269</v>
      </c>
      <c r="L10" s="428">
        <f>K10/K16%</f>
        <v>6.1275626423690204</v>
      </c>
      <c r="M10" s="821" t="s">
        <v>277</v>
      </c>
      <c r="N10" s="1160" t="s">
        <v>281</v>
      </c>
    </row>
    <row r="11" spans="1:14" ht="24" customHeight="1" thickBot="1">
      <c r="A11" s="1166"/>
      <c r="B11" s="818" t="s">
        <v>276</v>
      </c>
      <c r="C11" s="180">
        <v>0</v>
      </c>
      <c r="D11" s="177">
        <v>9</v>
      </c>
      <c r="E11" s="177">
        <v>14</v>
      </c>
      <c r="F11" s="177">
        <v>9</v>
      </c>
      <c r="G11" s="177">
        <v>4</v>
      </c>
      <c r="H11" s="177">
        <v>0</v>
      </c>
      <c r="I11" s="177">
        <v>6</v>
      </c>
      <c r="J11" s="183">
        <v>0</v>
      </c>
      <c r="K11" s="17">
        <f t="shared" ref="K11:K14" si="0">SUM(C11:J11)</f>
        <v>42</v>
      </c>
      <c r="L11" s="428">
        <f>K11/K17%</f>
        <v>7.5539568345323742</v>
      </c>
      <c r="M11" s="821" t="s">
        <v>451</v>
      </c>
      <c r="N11" s="1160"/>
    </row>
    <row r="12" spans="1:14" ht="24" customHeight="1" thickBot="1">
      <c r="A12" s="1165" t="s">
        <v>271</v>
      </c>
      <c r="B12" s="817" t="s">
        <v>278</v>
      </c>
      <c r="C12" s="179">
        <v>106</v>
      </c>
      <c r="D12" s="176">
        <v>4</v>
      </c>
      <c r="E12" s="176">
        <v>1</v>
      </c>
      <c r="F12" s="176">
        <v>2</v>
      </c>
      <c r="G12" s="176">
        <v>2</v>
      </c>
      <c r="H12" s="176">
        <v>1</v>
      </c>
      <c r="I12" s="176">
        <v>0</v>
      </c>
      <c r="J12" s="182">
        <v>0</v>
      </c>
      <c r="K12" s="171">
        <f t="shared" si="0"/>
        <v>116</v>
      </c>
      <c r="L12" s="427">
        <f>K12/K16%</f>
        <v>2.642369020501139</v>
      </c>
      <c r="M12" s="820" t="s">
        <v>277</v>
      </c>
      <c r="N12" s="1161" t="s">
        <v>280</v>
      </c>
    </row>
    <row r="13" spans="1:14" ht="24" customHeight="1" thickBot="1">
      <c r="A13" s="1165"/>
      <c r="B13" s="817" t="s">
        <v>276</v>
      </c>
      <c r="C13" s="179">
        <v>0</v>
      </c>
      <c r="D13" s="176">
        <v>4</v>
      </c>
      <c r="E13" s="176">
        <v>2</v>
      </c>
      <c r="F13" s="176">
        <v>6</v>
      </c>
      <c r="G13" s="176">
        <v>8</v>
      </c>
      <c r="H13" s="176">
        <v>5</v>
      </c>
      <c r="I13" s="176">
        <v>0</v>
      </c>
      <c r="J13" s="182">
        <v>0</v>
      </c>
      <c r="K13" s="171">
        <f t="shared" si="0"/>
        <v>25</v>
      </c>
      <c r="L13" s="427">
        <f>K13/K17%</f>
        <v>4.4964028776978422</v>
      </c>
      <c r="M13" s="820" t="s">
        <v>451</v>
      </c>
      <c r="N13" s="1161"/>
    </row>
    <row r="14" spans="1:14" ht="24" customHeight="1" thickBot="1">
      <c r="A14" s="1166" t="s">
        <v>270</v>
      </c>
      <c r="B14" s="818" t="s">
        <v>278</v>
      </c>
      <c r="C14" s="180">
        <v>1754</v>
      </c>
      <c r="D14" s="177">
        <v>48</v>
      </c>
      <c r="E14" s="177">
        <v>21</v>
      </c>
      <c r="F14" s="177">
        <v>11</v>
      </c>
      <c r="G14" s="177">
        <v>6</v>
      </c>
      <c r="H14" s="177">
        <v>4</v>
      </c>
      <c r="I14" s="177">
        <v>1</v>
      </c>
      <c r="J14" s="183">
        <v>0</v>
      </c>
      <c r="K14" s="17">
        <f t="shared" si="0"/>
        <v>1845</v>
      </c>
      <c r="L14" s="428">
        <f>K14/K16%</f>
        <v>42.027334851936217</v>
      </c>
      <c r="M14" s="821" t="s">
        <v>277</v>
      </c>
      <c r="N14" s="1160" t="s">
        <v>279</v>
      </c>
    </row>
    <row r="15" spans="1:14" ht="24" customHeight="1">
      <c r="A15" s="1167"/>
      <c r="B15" s="776" t="s">
        <v>276</v>
      </c>
      <c r="C15" s="181">
        <v>0</v>
      </c>
      <c r="D15" s="178">
        <v>48</v>
      </c>
      <c r="E15" s="178">
        <v>42</v>
      </c>
      <c r="F15" s="178">
        <v>33</v>
      </c>
      <c r="G15" s="178">
        <v>24</v>
      </c>
      <c r="H15" s="178">
        <v>20</v>
      </c>
      <c r="I15" s="178">
        <v>8</v>
      </c>
      <c r="J15" s="184">
        <v>0</v>
      </c>
      <c r="K15" s="53">
        <f>SUM(C15:J15)</f>
        <v>175</v>
      </c>
      <c r="L15" s="429">
        <f>K15/K17%</f>
        <v>31.474820143884894</v>
      </c>
      <c r="M15" s="822" t="s">
        <v>451</v>
      </c>
      <c r="N15" s="1162"/>
    </row>
    <row r="16" spans="1:14" ht="24" customHeight="1" thickBot="1">
      <c r="A16" s="1158" t="s">
        <v>187</v>
      </c>
      <c r="B16" s="816" t="s">
        <v>278</v>
      </c>
      <c r="C16" s="188">
        <f t="shared" ref="C16:J17" si="1">C8+C10+C12+C14</f>
        <v>4140</v>
      </c>
      <c r="D16" s="188">
        <f>D8+D10+D12+D14</f>
        <v>107</v>
      </c>
      <c r="E16" s="188">
        <f t="shared" si="1"/>
        <v>64</v>
      </c>
      <c r="F16" s="188">
        <f t="shared" si="1"/>
        <v>36</v>
      </c>
      <c r="G16" s="188">
        <f t="shared" si="1"/>
        <v>19</v>
      </c>
      <c r="H16" s="188">
        <f>H8+H10+H12+H14</f>
        <v>14</v>
      </c>
      <c r="I16" s="188">
        <f t="shared" si="1"/>
        <v>10</v>
      </c>
      <c r="J16" s="188">
        <f t="shared" si="1"/>
        <v>0</v>
      </c>
      <c r="K16" s="170">
        <f>SUM(C16:J16)</f>
        <v>4390</v>
      </c>
      <c r="L16" s="426">
        <f>L8+L10+L12+L14</f>
        <v>100</v>
      </c>
      <c r="M16" s="819" t="s">
        <v>277</v>
      </c>
      <c r="N16" s="1156" t="s">
        <v>17</v>
      </c>
    </row>
    <row r="17" spans="1:14" ht="24" customHeight="1">
      <c r="A17" s="1159"/>
      <c r="B17" s="420" t="s">
        <v>276</v>
      </c>
      <c r="C17" s="172">
        <f t="shared" si="1"/>
        <v>0</v>
      </c>
      <c r="D17" s="172">
        <f t="shared" si="1"/>
        <v>107</v>
      </c>
      <c r="E17" s="172">
        <f t="shared" si="1"/>
        <v>128</v>
      </c>
      <c r="F17" s="172">
        <f t="shared" si="1"/>
        <v>108</v>
      </c>
      <c r="G17" s="172">
        <f t="shared" si="1"/>
        <v>76</v>
      </c>
      <c r="H17" s="172">
        <f t="shared" si="1"/>
        <v>70</v>
      </c>
      <c r="I17" s="172">
        <f t="shared" si="1"/>
        <v>67</v>
      </c>
      <c r="J17" s="172">
        <f t="shared" si="1"/>
        <v>0</v>
      </c>
      <c r="K17" s="172">
        <f>SUM(C17:J17)</f>
        <v>556</v>
      </c>
      <c r="L17" s="430">
        <f>L9+L11+L13+L15</f>
        <v>100.00000000000001</v>
      </c>
      <c r="M17" s="421" t="s">
        <v>451</v>
      </c>
      <c r="N17" s="1157"/>
    </row>
    <row r="18" spans="1:14">
      <c r="L18" s="352"/>
    </row>
    <row r="25" spans="1:14" ht="39" thickBot="1">
      <c r="B25" s="173" t="s">
        <v>274</v>
      </c>
      <c r="C25" s="173" t="s">
        <v>528</v>
      </c>
    </row>
    <row r="26" spans="1:14" ht="56.25" thickBot="1">
      <c r="A26" s="63" t="s">
        <v>1039</v>
      </c>
      <c r="B26" s="166">
        <f>K8</f>
        <v>2160</v>
      </c>
      <c r="C26" s="166">
        <f>K9</f>
        <v>314</v>
      </c>
    </row>
    <row r="27" spans="1:14" ht="69" thickBot="1">
      <c r="A27" s="63" t="s">
        <v>1040</v>
      </c>
      <c r="B27" s="166">
        <f>K10</f>
        <v>269</v>
      </c>
      <c r="C27" s="166">
        <f>K11</f>
        <v>42</v>
      </c>
    </row>
    <row r="28" spans="1:14" ht="69" thickBot="1">
      <c r="A28" s="63" t="s">
        <v>1041</v>
      </c>
      <c r="B28" s="166">
        <f>K12</f>
        <v>116</v>
      </c>
      <c r="C28" s="166">
        <f>K13</f>
        <v>25</v>
      </c>
    </row>
    <row r="29" spans="1:14" ht="68.25">
      <c r="A29" s="63" t="s">
        <v>1042</v>
      </c>
      <c r="B29" s="166">
        <f>K14</f>
        <v>1845</v>
      </c>
      <c r="C29" s="166">
        <f>K15</f>
        <v>175</v>
      </c>
    </row>
  </sheetData>
  <mergeCells count="20">
    <mergeCell ref="A1:N1"/>
    <mergeCell ref="A2:N2"/>
    <mergeCell ref="A3:N3"/>
    <mergeCell ref="A4:N4"/>
    <mergeCell ref="A6:A7"/>
    <mergeCell ref="B6:B7"/>
    <mergeCell ref="C6:K6"/>
    <mergeCell ref="M6:M7"/>
    <mergeCell ref="N6:N7"/>
    <mergeCell ref="L6:L7"/>
    <mergeCell ref="A8:A9"/>
    <mergeCell ref="N8:N9"/>
    <mergeCell ref="A16:A17"/>
    <mergeCell ref="N16:N17"/>
    <mergeCell ref="A10:A11"/>
    <mergeCell ref="N10:N11"/>
    <mergeCell ref="A12:A13"/>
    <mergeCell ref="N12:N13"/>
    <mergeCell ref="A14:A15"/>
    <mergeCell ref="N14:N15"/>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3:M33"/>
  <sheetViews>
    <sheetView rightToLeft="1" view="pageBreakPreview" zoomScaleNormal="100" zoomScaleSheetLayoutView="100" workbookViewId="0">
      <selection activeCell="N13" sqref="N13"/>
    </sheetView>
  </sheetViews>
  <sheetFormatPr defaultColWidth="9.140625" defaultRowHeight="12.75"/>
  <cols>
    <col min="1" max="16384" width="9.140625" style="1"/>
  </cols>
  <sheetData>
    <row r="33" spans="1:13" ht="15.75">
      <c r="A33" s="1070" t="s">
        <v>287</v>
      </c>
      <c r="B33" s="1070"/>
      <c r="C33" s="1070"/>
      <c r="D33" s="1070"/>
      <c r="E33" s="1070"/>
      <c r="F33" s="1070"/>
      <c r="G33" s="1070"/>
      <c r="H33" s="1070"/>
      <c r="I33" s="1070"/>
      <c r="J33" s="1070"/>
      <c r="K33" s="1070"/>
      <c r="L33" s="1070"/>
      <c r="M33" s="1070"/>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
  <sheetViews>
    <sheetView rightToLeft="1" view="pageBreakPreview" zoomScaleNormal="100" zoomScaleSheetLayoutView="100" workbookViewId="0">
      <selection activeCell="F22" sqref="F22"/>
    </sheetView>
  </sheetViews>
  <sheetFormatPr defaultColWidth="9.140625" defaultRowHeight="12.75"/>
  <cols>
    <col min="1" max="1" width="52.7109375" style="1" customWidth="1"/>
    <col min="2" max="16384" width="9.140625" style="1"/>
  </cols>
  <sheetData/>
  <printOptions horizontalCentered="1" verticalCentered="1"/>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18"/>
  <sheetViews>
    <sheetView rightToLeft="1" view="pageBreakPreview" zoomScaleNormal="100" zoomScaleSheetLayoutView="100" workbookViewId="0">
      <selection activeCell="F12" sqref="F12"/>
    </sheetView>
  </sheetViews>
  <sheetFormatPr defaultColWidth="9.140625" defaultRowHeight="12.75"/>
  <cols>
    <col min="1" max="1" width="13.85546875" style="1" customWidth="1"/>
    <col min="2" max="13" width="10.7109375" style="1" customWidth="1"/>
    <col min="14" max="14" width="13.85546875" style="1" customWidth="1"/>
    <col min="15" max="16384" width="9.140625" style="1"/>
  </cols>
  <sheetData>
    <row r="1" spans="1:15" ht="18">
      <c r="A1" s="1041" t="s">
        <v>684</v>
      </c>
      <c r="B1" s="1041"/>
      <c r="C1" s="1041"/>
      <c r="D1" s="1041"/>
      <c r="E1" s="1041"/>
      <c r="F1" s="1041"/>
      <c r="G1" s="1041"/>
      <c r="H1" s="1041"/>
      <c r="I1" s="1041"/>
      <c r="J1" s="1041"/>
      <c r="K1" s="1041"/>
      <c r="L1" s="1041"/>
      <c r="M1" s="1041"/>
      <c r="N1" s="1041"/>
    </row>
    <row r="2" spans="1:15" ht="33" customHeight="1">
      <c r="A2" s="1068" t="s">
        <v>676</v>
      </c>
      <c r="B2" s="1068"/>
      <c r="C2" s="1068"/>
      <c r="D2" s="1068"/>
      <c r="E2" s="1068"/>
      <c r="F2" s="1068"/>
      <c r="G2" s="1068"/>
      <c r="H2" s="1068"/>
      <c r="I2" s="1068"/>
      <c r="J2" s="1068"/>
      <c r="K2" s="1068"/>
      <c r="L2" s="1068"/>
      <c r="M2" s="1068"/>
      <c r="N2" s="1068"/>
    </row>
    <row r="3" spans="1:15" ht="15.75">
      <c r="A3" s="1069" t="s">
        <v>1318</v>
      </c>
      <c r="B3" s="1069"/>
      <c r="C3" s="1069"/>
      <c r="D3" s="1069"/>
      <c r="E3" s="1069"/>
      <c r="F3" s="1069"/>
      <c r="G3" s="1069"/>
      <c r="H3" s="1069"/>
      <c r="I3" s="1069"/>
      <c r="J3" s="1069"/>
      <c r="K3" s="1069"/>
      <c r="L3" s="1069"/>
      <c r="M3" s="1069"/>
      <c r="N3" s="1069"/>
    </row>
    <row r="4" spans="1:15" ht="15.75">
      <c r="A4" s="1069"/>
      <c r="B4" s="1069"/>
      <c r="C4" s="1069"/>
      <c r="D4" s="1069"/>
      <c r="E4" s="1069"/>
      <c r="F4" s="1069"/>
      <c r="G4" s="1069"/>
      <c r="H4" s="1069"/>
      <c r="I4" s="1069"/>
      <c r="J4" s="1069"/>
      <c r="K4" s="1069"/>
      <c r="L4" s="1069"/>
      <c r="M4" s="1069"/>
      <c r="N4" s="1069"/>
    </row>
    <row r="5" spans="1:15" ht="20.25" customHeight="1">
      <c r="A5" s="367" t="s">
        <v>294</v>
      </c>
      <c r="B5" s="364"/>
      <c r="C5" s="368"/>
      <c r="D5" s="368"/>
      <c r="E5" s="369"/>
      <c r="F5" s="364"/>
      <c r="G5" s="368"/>
      <c r="H5" s="368"/>
      <c r="I5" s="369"/>
      <c r="J5" s="364"/>
      <c r="K5" s="368"/>
      <c r="L5" s="368"/>
      <c r="M5" s="369"/>
      <c r="N5" s="370" t="s">
        <v>397</v>
      </c>
      <c r="O5" s="37"/>
    </row>
    <row r="6" spans="1:15" ht="30.75" customHeight="1" thickBot="1">
      <c r="A6" s="1044" t="s">
        <v>30</v>
      </c>
      <c r="B6" s="1174" t="s">
        <v>52</v>
      </c>
      <c r="C6" s="1174"/>
      <c r="D6" s="1174"/>
      <c r="E6" s="1174"/>
      <c r="F6" s="1174" t="s">
        <v>51</v>
      </c>
      <c r="G6" s="1174"/>
      <c r="H6" s="1174"/>
      <c r="I6" s="1174"/>
      <c r="J6" s="1174" t="s">
        <v>1</v>
      </c>
      <c r="K6" s="1174"/>
      <c r="L6" s="1174"/>
      <c r="M6" s="1174"/>
      <c r="N6" s="1049" t="s">
        <v>28</v>
      </c>
    </row>
    <row r="7" spans="1:15" ht="24" customHeight="1" thickBot="1">
      <c r="A7" s="1045"/>
      <c r="B7" s="1075" t="s">
        <v>50</v>
      </c>
      <c r="C7" s="1075"/>
      <c r="D7" s="1075" t="s">
        <v>49</v>
      </c>
      <c r="E7" s="1075"/>
      <c r="F7" s="1075" t="s">
        <v>50</v>
      </c>
      <c r="G7" s="1075"/>
      <c r="H7" s="1075" t="s">
        <v>49</v>
      </c>
      <c r="I7" s="1075"/>
      <c r="J7" s="1075" t="s">
        <v>50</v>
      </c>
      <c r="K7" s="1075"/>
      <c r="L7" s="1075" t="s">
        <v>49</v>
      </c>
      <c r="M7" s="1075"/>
      <c r="N7" s="1050"/>
    </row>
    <row r="8" spans="1:15" ht="66.75" customHeight="1">
      <c r="A8" s="1124"/>
      <c r="B8" s="567" t="s">
        <v>620</v>
      </c>
      <c r="C8" s="567" t="s">
        <v>621</v>
      </c>
      <c r="D8" s="567" t="s">
        <v>620</v>
      </c>
      <c r="E8" s="567" t="s">
        <v>621</v>
      </c>
      <c r="F8" s="567" t="s">
        <v>620</v>
      </c>
      <c r="G8" s="567" t="s">
        <v>621</v>
      </c>
      <c r="H8" s="567" t="s">
        <v>620</v>
      </c>
      <c r="I8" s="567" t="s">
        <v>621</v>
      </c>
      <c r="J8" s="567" t="s">
        <v>620</v>
      </c>
      <c r="K8" s="567" t="s">
        <v>621</v>
      </c>
      <c r="L8" s="567" t="s">
        <v>620</v>
      </c>
      <c r="M8" s="567" t="s">
        <v>621</v>
      </c>
      <c r="N8" s="1175"/>
    </row>
    <row r="9" spans="1:15" ht="24.75" customHeight="1" thickBot="1">
      <c r="A9" s="741">
        <v>2012</v>
      </c>
      <c r="B9" s="744">
        <v>835</v>
      </c>
      <c r="C9" s="745">
        <v>10.7</v>
      </c>
      <c r="D9" s="744">
        <v>767</v>
      </c>
      <c r="E9" s="745">
        <v>9.3000000000000007</v>
      </c>
      <c r="F9" s="744">
        <v>585</v>
      </c>
      <c r="G9" s="745">
        <v>0.5</v>
      </c>
      <c r="H9" s="744">
        <v>653</v>
      </c>
      <c r="I9" s="745">
        <v>2.5</v>
      </c>
      <c r="J9" s="746">
        <f>B9+F9</f>
        <v>1420</v>
      </c>
      <c r="K9" s="747">
        <v>1.2</v>
      </c>
      <c r="L9" s="746">
        <f>D9+H9</f>
        <v>1420</v>
      </c>
      <c r="M9" s="747">
        <v>4.0999999999999996</v>
      </c>
      <c r="N9" s="743">
        <v>2012</v>
      </c>
    </row>
    <row r="10" spans="1:15" ht="24.95" customHeight="1" thickBot="1">
      <c r="A10" s="943">
        <v>2013</v>
      </c>
      <c r="B10" s="944">
        <v>816</v>
      </c>
      <c r="C10" s="945">
        <v>10.1</v>
      </c>
      <c r="D10" s="944">
        <v>728</v>
      </c>
      <c r="E10" s="945">
        <v>8.5</v>
      </c>
      <c r="F10" s="944">
        <v>509</v>
      </c>
      <c r="G10" s="945">
        <v>0.4</v>
      </c>
      <c r="H10" s="944">
        <v>597</v>
      </c>
      <c r="I10" s="945">
        <v>2</v>
      </c>
      <c r="J10" s="946">
        <f t="shared" ref="J10:J17" si="0">B10+F10</f>
        <v>1325</v>
      </c>
      <c r="K10" s="947">
        <v>1</v>
      </c>
      <c r="L10" s="946">
        <f t="shared" ref="L10:L17" si="1">D10+H10</f>
        <v>1325</v>
      </c>
      <c r="M10" s="947">
        <v>3.5</v>
      </c>
      <c r="N10" s="948">
        <v>2013</v>
      </c>
    </row>
    <row r="11" spans="1:15" ht="24.75" customHeight="1" thickBot="1">
      <c r="A11" s="949">
        <v>2014</v>
      </c>
      <c r="B11" s="950">
        <v>803</v>
      </c>
      <c r="C11" s="951">
        <v>9.664917432959415</v>
      </c>
      <c r="D11" s="950">
        <v>710</v>
      </c>
      <c r="E11" s="951">
        <v>8.0363105411493052</v>
      </c>
      <c r="F11" s="950">
        <v>512</v>
      </c>
      <c r="G11" s="951">
        <v>0.36468379350919827</v>
      </c>
      <c r="H11" s="950">
        <v>605</v>
      </c>
      <c r="I11" s="951">
        <v>1.8986229491733928</v>
      </c>
      <c r="J11" s="952">
        <f t="shared" si="0"/>
        <v>1315</v>
      </c>
      <c r="K11" s="953">
        <v>0.88430707983645362</v>
      </c>
      <c r="L11" s="952">
        <f t="shared" si="1"/>
        <v>1315</v>
      </c>
      <c r="M11" s="953">
        <v>3.2309502925054239</v>
      </c>
      <c r="N11" s="954">
        <v>2014</v>
      </c>
    </row>
    <row r="12" spans="1:15" ht="24.95" customHeight="1" thickBot="1">
      <c r="A12" s="943">
        <v>2015</v>
      </c>
      <c r="B12" s="944">
        <v>807</v>
      </c>
      <c r="C12" s="945">
        <v>9.3944262066075286</v>
      </c>
      <c r="D12" s="944">
        <v>706</v>
      </c>
      <c r="E12" s="945">
        <v>7.881487435390782</v>
      </c>
      <c r="F12" s="944">
        <v>500</v>
      </c>
      <c r="G12" s="945">
        <v>0.3160582229816048</v>
      </c>
      <c r="H12" s="944">
        <v>601</v>
      </c>
      <c r="I12" s="945">
        <v>1.7525493615296459</v>
      </c>
      <c r="J12" s="946">
        <f t="shared" si="0"/>
        <v>1307</v>
      </c>
      <c r="K12" s="947">
        <v>0.78362528921289132</v>
      </c>
      <c r="L12" s="946">
        <f t="shared" si="1"/>
        <v>1307</v>
      </c>
      <c r="M12" s="947">
        <v>3.0219233952823776</v>
      </c>
      <c r="N12" s="948">
        <v>2015</v>
      </c>
    </row>
    <row r="13" spans="1:15" ht="24.75" customHeight="1" thickBot="1">
      <c r="A13" s="949">
        <v>2016</v>
      </c>
      <c r="B13" s="950">
        <v>730</v>
      </c>
      <c r="C13" s="951">
        <v>8.2712985938792389</v>
      </c>
      <c r="D13" s="950">
        <v>645</v>
      </c>
      <c r="E13" s="951">
        <v>6.8372625508819542</v>
      </c>
      <c r="F13" s="950">
        <v>421</v>
      </c>
      <c r="G13" s="951">
        <v>0.24697630024809092</v>
      </c>
      <c r="H13" s="950">
        <v>506</v>
      </c>
      <c r="I13" s="951">
        <v>1.3583272709701839</v>
      </c>
      <c r="J13" s="952">
        <f t="shared" si="0"/>
        <v>1151</v>
      </c>
      <c r="K13" s="953">
        <v>0.64198599566952286</v>
      </c>
      <c r="L13" s="952">
        <f t="shared" si="1"/>
        <v>1151</v>
      </c>
      <c r="M13" s="953">
        <v>2.4654441547981913</v>
      </c>
      <c r="N13" s="954">
        <v>2016</v>
      </c>
    </row>
    <row r="14" spans="1:15" ht="24.95" customHeight="1" thickBot="1">
      <c r="A14" s="943">
        <v>2017</v>
      </c>
      <c r="B14" s="944">
        <v>786</v>
      </c>
      <c r="C14" s="945">
        <v>8.631007939209594</v>
      </c>
      <c r="D14" s="944">
        <v>673</v>
      </c>
      <c r="E14" s="945">
        <v>6.8837837284945689</v>
      </c>
      <c r="F14" s="944">
        <v>420</v>
      </c>
      <c r="G14" s="945">
        <v>0.2</v>
      </c>
      <c r="H14" s="944">
        <v>533</v>
      </c>
      <c r="I14" s="945">
        <v>1.3437878176684146</v>
      </c>
      <c r="J14" s="946">
        <f t="shared" si="0"/>
        <v>1206</v>
      </c>
      <c r="K14" s="947">
        <v>0.64914093786332516</v>
      </c>
      <c r="L14" s="946">
        <f t="shared" si="1"/>
        <v>1206</v>
      </c>
      <c r="M14" s="947">
        <v>2.4392907853060035</v>
      </c>
      <c r="N14" s="948">
        <v>2017</v>
      </c>
    </row>
    <row r="15" spans="1:15" ht="24.75" customHeight="1" thickBot="1">
      <c r="A15" s="949">
        <v>2018</v>
      </c>
      <c r="B15" s="950">
        <v>799</v>
      </c>
      <c r="C15" s="951">
        <v>8.5308562887038235</v>
      </c>
      <c r="D15" s="950">
        <v>641</v>
      </c>
      <c r="E15" s="951">
        <v>6.3788076306859454</v>
      </c>
      <c r="F15" s="950">
        <v>383</v>
      </c>
      <c r="G15" s="951">
        <v>0.21781226629966532</v>
      </c>
      <c r="H15" s="950">
        <v>541</v>
      </c>
      <c r="I15" s="951">
        <v>1.2807552905136514</v>
      </c>
      <c r="J15" s="952">
        <f t="shared" si="0"/>
        <v>1182</v>
      </c>
      <c r="K15" s="953">
        <v>0.63820998836427645</v>
      </c>
      <c r="L15" s="952">
        <f t="shared" si="1"/>
        <v>1182</v>
      </c>
      <c r="M15" s="953">
        <v>2.2604877451730365</v>
      </c>
      <c r="N15" s="954">
        <v>2018</v>
      </c>
    </row>
    <row r="16" spans="1:15" ht="24.95" customHeight="1" thickBot="1">
      <c r="A16" s="943">
        <v>2019</v>
      </c>
      <c r="B16" s="944">
        <v>1115</v>
      </c>
      <c r="C16" s="945">
        <f>+B16/96576*1000</f>
        <v>11.545311464546057</v>
      </c>
      <c r="D16" s="944">
        <v>992</v>
      </c>
      <c r="E16" s="945">
        <f>+D16/103513*1000</f>
        <v>9.5833373585926402</v>
      </c>
      <c r="F16" s="944">
        <v>718</v>
      </c>
      <c r="G16" s="945">
        <f>+F16/1764547*1000</f>
        <v>0.40690330152724752</v>
      </c>
      <c r="H16" s="944">
        <v>841</v>
      </c>
      <c r="I16" s="945">
        <f>+H16/436131*1000</f>
        <v>1.9283197021078529</v>
      </c>
      <c r="J16" s="946">
        <f t="shared" si="0"/>
        <v>1833</v>
      </c>
      <c r="K16" s="947">
        <f>+J16/1861123*1000</f>
        <v>0.98488923085685365</v>
      </c>
      <c r="L16" s="946">
        <f t="shared" si="1"/>
        <v>1833</v>
      </c>
      <c r="M16" s="947">
        <f>+L16/539644*1000</f>
        <v>3.3966837396505842</v>
      </c>
      <c r="N16" s="948">
        <v>2019</v>
      </c>
    </row>
    <row r="17" spans="1:14" ht="24.75" customHeight="1" thickBot="1">
      <c r="A17" s="955">
        <v>2020</v>
      </c>
      <c r="B17" s="956">
        <v>1144</v>
      </c>
      <c r="C17" s="957">
        <v>11.5</v>
      </c>
      <c r="D17" s="956">
        <v>1037</v>
      </c>
      <c r="E17" s="957">
        <v>9.6999999999999993</v>
      </c>
      <c r="F17" s="956">
        <v>684</v>
      </c>
      <c r="G17" s="957">
        <v>0.4</v>
      </c>
      <c r="H17" s="956">
        <v>791</v>
      </c>
      <c r="I17" s="957">
        <v>1.6</v>
      </c>
      <c r="J17" s="958">
        <f t="shared" si="0"/>
        <v>1828</v>
      </c>
      <c r="K17" s="959">
        <f>+J17/1861123*1000</f>
        <v>0.98220268085451634</v>
      </c>
      <c r="L17" s="958">
        <f t="shared" si="1"/>
        <v>1828</v>
      </c>
      <c r="M17" s="959">
        <v>3.1</v>
      </c>
      <c r="N17" s="960">
        <v>2020</v>
      </c>
    </row>
    <row r="18" spans="1:14" ht="24.95" customHeight="1">
      <c r="A18" s="13">
        <v>2021</v>
      </c>
      <c r="B18" s="603">
        <v>1324</v>
      </c>
      <c r="C18" s="604">
        <v>13</v>
      </c>
      <c r="D18" s="603">
        <v>1217</v>
      </c>
      <c r="E18" s="604">
        <v>11</v>
      </c>
      <c r="F18" s="603">
        <v>817</v>
      </c>
      <c r="G18" s="604">
        <v>0.5</v>
      </c>
      <c r="H18" s="603">
        <v>924</v>
      </c>
      <c r="I18" s="604">
        <v>2</v>
      </c>
      <c r="J18" s="623">
        <f>B18+F18</f>
        <v>2141</v>
      </c>
      <c r="K18" s="624">
        <v>1.2</v>
      </c>
      <c r="L18" s="623">
        <f>D18+H18</f>
        <v>2141</v>
      </c>
      <c r="M18" s="624">
        <v>4</v>
      </c>
      <c r="N18" s="1010">
        <v>2021</v>
      </c>
    </row>
  </sheetData>
  <mergeCells count="15">
    <mergeCell ref="A1:N1"/>
    <mergeCell ref="A2:N2"/>
    <mergeCell ref="A3:N3"/>
    <mergeCell ref="A4:N4"/>
    <mergeCell ref="F6:I6"/>
    <mergeCell ref="J6:M6"/>
    <mergeCell ref="N6:N8"/>
    <mergeCell ref="B7:C7"/>
    <mergeCell ref="D7:E7"/>
    <mergeCell ref="F7:G7"/>
    <mergeCell ref="H7:I7"/>
    <mergeCell ref="J7:K7"/>
    <mergeCell ref="L7:M7"/>
    <mergeCell ref="A6:A8"/>
    <mergeCell ref="B6:E6"/>
  </mergeCells>
  <printOptions horizontalCentered="1" verticalCentered="1"/>
  <pageMargins left="0" right="0" top="0" bottom="0" header="0" footer="0"/>
  <pageSetup paperSize="9" scale="84" orientation="landscape" r:id="rId1"/>
  <headerFooter alignWithMargins="0"/>
  <colBreaks count="1" manualBreakCount="1">
    <brk id="14"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M34"/>
  <sheetViews>
    <sheetView rightToLeft="1" view="pageBreakPreview" zoomScaleNormal="100" zoomScaleSheetLayoutView="100" workbookViewId="0">
      <selection activeCell="O17" sqref="O17"/>
    </sheetView>
  </sheetViews>
  <sheetFormatPr defaultColWidth="9.140625" defaultRowHeight="12.75"/>
  <cols>
    <col min="1" max="16384" width="9.140625" style="1"/>
  </cols>
  <sheetData>
    <row r="1" ht="37.5" customHeight="1"/>
    <row r="34" spans="1:13" ht="15.75">
      <c r="A34" s="1070" t="s">
        <v>289</v>
      </c>
      <c r="B34" s="1070"/>
      <c r="C34" s="1070"/>
      <c r="D34" s="1070"/>
      <c r="E34" s="1070"/>
      <c r="F34" s="1070"/>
      <c r="G34" s="1070"/>
      <c r="H34" s="1070"/>
      <c r="I34" s="1070"/>
      <c r="J34" s="1070"/>
      <c r="K34" s="1070"/>
      <c r="L34" s="1070"/>
      <c r="M34" s="1070"/>
    </row>
  </sheetData>
  <mergeCells count="1">
    <mergeCell ref="A34:M34"/>
  </mergeCells>
  <printOptions horizontalCentered="1" verticalCentered="1"/>
  <pageMargins left="0" right="0" top="0" bottom="0" header="0" footer="0"/>
  <pageSetup paperSize="9" scale="11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Y31"/>
  <sheetViews>
    <sheetView rightToLeft="1" view="pageBreakPreview" topLeftCell="A9" zoomScaleNormal="100" zoomScaleSheetLayoutView="100" workbookViewId="0">
      <selection activeCell="C10" sqref="C10:T27"/>
    </sheetView>
  </sheetViews>
  <sheetFormatPr defaultColWidth="9.140625" defaultRowHeight="15"/>
  <cols>
    <col min="1" max="1" width="10.28515625" style="542" customWidth="1"/>
    <col min="2" max="2" width="7.5703125" style="542" bestFit="1" customWidth="1"/>
    <col min="3" max="3" width="6.140625" style="542" customWidth="1"/>
    <col min="4" max="6" width="6.85546875" style="542" customWidth="1"/>
    <col min="7" max="7" width="6.140625" style="542" customWidth="1"/>
    <col min="8" max="8" width="6.85546875" style="542" customWidth="1"/>
    <col min="9" max="9" width="6.140625" style="542" customWidth="1"/>
    <col min="10" max="10" width="6.85546875" style="542" customWidth="1"/>
    <col min="11" max="11" width="6.140625" style="542" customWidth="1"/>
    <col min="12" max="12" width="6.85546875" style="542" customWidth="1"/>
    <col min="13" max="13" width="6.140625" style="542" customWidth="1"/>
    <col min="14" max="14" width="6.85546875" style="542" customWidth="1"/>
    <col min="15" max="15" width="6.140625" style="542" customWidth="1"/>
    <col min="16" max="16" width="6.85546875" style="542" customWidth="1"/>
    <col min="17" max="17" width="6.140625" style="542" customWidth="1"/>
    <col min="18" max="18" width="6.85546875" style="542" customWidth="1"/>
    <col min="19" max="19" width="6.140625" style="542" customWidth="1"/>
    <col min="20" max="20" width="7.42578125" style="542" customWidth="1"/>
    <col min="21" max="21" width="7.140625" style="542" customWidth="1"/>
    <col min="22" max="22" width="7" style="542" customWidth="1"/>
    <col min="23" max="23" width="7.140625" style="542" customWidth="1"/>
    <col min="24" max="24" width="9.7109375" style="542" bestFit="1" customWidth="1"/>
    <col min="25" max="25" width="15.28515625" style="542" customWidth="1"/>
    <col min="26" max="16384" width="9.140625" style="542"/>
  </cols>
  <sheetData>
    <row r="1" spans="1:25" s="539" customFormat="1" ht="22.5" customHeight="1">
      <c r="A1" s="1098" t="s">
        <v>655</v>
      </c>
      <c r="B1" s="1098"/>
      <c r="C1" s="1098"/>
      <c r="D1" s="1098"/>
      <c r="E1" s="1098"/>
      <c r="F1" s="1098"/>
      <c r="G1" s="1098"/>
      <c r="H1" s="1098"/>
      <c r="I1" s="1098"/>
      <c r="J1" s="1098"/>
      <c r="K1" s="1098"/>
      <c r="L1" s="1098"/>
      <c r="M1" s="1098"/>
      <c r="N1" s="1098"/>
      <c r="O1" s="1098"/>
      <c r="P1" s="1098"/>
      <c r="Q1" s="1098"/>
      <c r="R1" s="1098"/>
      <c r="S1" s="1098"/>
      <c r="T1" s="1098"/>
      <c r="U1" s="1098"/>
      <c r="V1" s="1098"/>
      <c r="W1" s="1098"/>
      <c r="X1" s="1098"/>
      <c r="Y1" s="1098"/>
    </row>
    <row r="2" spans="1:25" s="539" customFormat="1" ht="18">
      <c r="A2" s="1099" t="s">
        <v>658</v>
      </c>
      <c r="B2" s="1099"/>
      <c r="C2" s="1099"/>
      <c r="D2" s="1099"/>
      <c r="E2" s="1099"/>
      <c r="F2" s="1099"/>
      <c r="G2" s="1099"/>
      <c r="H2" s="1099"/>
      <c r="I2" s="1099"/>
      <c r="J2" s="1099"/>
      <c r="K2" s="1099"/>
      <c r="L2" s="1099"/>
      <c r="M2" s="1099"/>
      <c r="N2" s="1099"/>
      <c r="O2" s="1099"/>
      <c r="P2" s="1099"/>
      <c r="Q2" s="1099"/>
      <c r="R2" s="1099"/>
      <c r="S2" s="1099"/>
      <c r="T2" s="1099"/>
      <c r="U2" s="1099"/>
      <c r="V2" s="1099"/>
      <c r="W2" s="1099"/>
      <c r="X2" s="1099"/>
      <c r="Y2" s="1099"/>
    </row>
    <row r="3" spans="1:25" s="538" customFormat="1" ht="15.75">
      <c r="A3" s="1100">
        <v>2021</v>
      </c>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row>
    <row r="4" spans="1:25" s="538" customFormat="1" ht="15.75">
      <c r="A4" s="574"/>
      <c r="B4" s="574"/>
      <c r="C4" s="574"/>
      <c r="D4" s="574"/>
      <c r="E4" s="574"/>
      <c r="F4" s="574"/>
      <c r="G4" s="574"/>
      <c r="H4" s="574"/>
      <c r="I4" s="574"/>
      <c r="J4" s="574"/>
      <c r="K4" s="574"/>
      <c r="L4" s="574"/>
      <c r="M4" s="574"/>
      <c r="N4" s="574"/>
      <c r="O4" s="574"/>
      <c r="P4" s="574"/>
      <c r="Q4" s="574"/>
      <c r="R4" s="574"/>
      <c r="S4" s="574"/>
      <c r="T4" s="574"/>
      <c r="U4" s="574"/>
      <c r="V4" s="574"/>
      <c r="W4" s="574"/>
      <c r="X4" s="574"/>
      <c r="Y4" s="574"/>
    </row>
    <row r="5" spans="1:25" s="541" customFormat="1" ht="15.75">
      <c r="A5" s="540" t="s">
        <v>659</v>
      </c>
      <c r="B5" s="540"/>
      <c r="C5" s="540"/>
      <c r="D5" s="540"/>
      <c r="E5" s="540"/>
      <c r="F5" s="540"/>
      <c r="G5" s="540"/>
      <c r="H5" s="540"/>
      <c r="I5" s="540"/>
      <c r="J5" s="540"/>
      <c r="K5" s="540"/>
      <c r="L5" s="540"/>
      <c r="M5" s="540"/>
      <c r="O5" s="545"/>
      <c r="P5" s="545"/>
      <c r="Q5" s="545"/>
      <c r="R5" s="545"/>
      <c r="S5" s="545"/>
      <c r="T5" s="545"/>
      <c r="U5" s="546"/>
      <c r="V5" s="546"/>
      <c r="W5" s="546"/>
      <c r="X5" s="546"/>
      <c r="Y5" s="573" t="s">
        <v>660</v>
      </c>
    </row>
    <row r="6" spans="1:25" ht="25.9" customHeight="1">
      <c r="A6" s="1101" t="s">
        <v>1084</v>
      </c>
      <c r="B6" s="1102"/>
      <c r="C6" s="1107" t="s">
        <v>587</v>
      </c>
      <c r="D6" s="1107"/>
      <c r="E6" s="1107"/>
      <c r="F6" s="1107"/>
      <c r="G6" s="1107"/>
      <c r="H6" s="1107"/>
      <c r="I6" s="1107"/>
      <c r="J6" s="1107"/>
      <c r="K6" s="1107"/>
      <c r="L6" s="1107"/>
      <c r="M6" s="1107"/>
      <c r="N6" s="1108" t="s">
        <v>672</v>
      </c>
      <c r="O6" s="1108"/>
      <c r="P6" s="1108"/>
      <c r="Q6" s="1108"/>
      <c r="R6" s="1108"/>
      <c r="S6" s="1108"/>
      <c r="T6" s="1108"/>
      <c r="U6" s="1108"/>
      <c r="V6" s="1108"/>
      <c r="W6" s="1108"/>
      <c r="X6" s="1109" t="s">
        <v>671</v>
      </c>
      <c r="Y6" s="1110"/>
    </row>
    <row r="7" spans="1:25" s="543" customFormat="1" ht="34.9" customHeight="1">
      <c r="A7" s="1103"/>
      <c r="B7" s="1104"/>
      <c r="C7" s="1115" t="s">
        <v>1043</v>
      </c>
      <c r="D7" s="1094"/>
      <c r="E7" s="1094" t="s">
        <v>1044</v>
      </c>
      <c r="F7" s="1094"/>
      <c r="G7" s="1094" t="s">
        <v>1045</v>
      </c>
      <c r="H7" s="1094"/>
      <c r="I7" s="1094" t="s">
        <v>1046</v>
      </c>
      <c r="J7" s="1094"/>
      <c r="K7" s="1094" t="s">
        <v>1047</v>
      </c>
      <c r="L7" s="1094"/>
      <c r="M7" s="1094" t="s">
        <v>1048</v>
      </c>
      <c r="N7" s="1094"/>
      <c r="O7" s="1094" t="s">
        <v>1049</v>
      </c>
      <c r="P7" s="1094"/>
      <c r="Q7" s="1094" t="s">
        <v>1050</v>
      </c>
      <c r="R7" s="1094"/>
      <c r="S7" s="1094" t="s">
        <v>1051</v>
      </c>
      <c r="T7" s="1094"/>
      <c r="U7" s="1094" t="s">
        <v>1052</v>
      </c>
      <c r="V7" s="1094"/>
      <c r="W7" s="1095"/>
      <c r="X7" s="1111"/>
      <c r="Y7" s="1112"/>
    </row>
    <row r="8" spans="1:25" s="543" customFormat="1" ht="25.5">
      <c r="A8" s="1103"/>
      <c r="B8" s="1104"/>
      <c r="C8" s="571" t="s">
        <v>661</v>
      </c>
      <c r="D8" s="571" t="s">
        <v>662</v>
      </c>
      <c r="E8" s="571" t="s">
        <v>661</v>
      </c>
      <c r="F8" s="571" t="s">
        <v>662</v>
      </c>
      <c r="G8" s="571" t="s">
        <v>661</v>
      </c>
      <c r="H8" s="571" t="s">
        <v>662</v>
      </c>
      <c r="I8" s="571" t="s">
        <v>661</v>
      </c>
      <c r="J8" s="571" t="s">
        <v>662</v>
      </c>
      <c r="K8" s="571" t="s">
        <v>661</v>
      </c>
      <c r="L8" s="571" t="s">
        <v>662</v>
      </c>
      <c r="M8" s="571" t="s">
        <v>661</v>
      </c>
      <c r="N8" s="571" t="s">
        <v>662</v>
      </c>
      <c r="O8" s="571" t="s">
        <v>661</v>
      </c>
      <c r="P8" s="571" t="s">
        <v>662</v>
      </c>
      <c r="Q8" s="571" t="s">
        <v>661</v>
      </c>
      <c r="R8" s="571" t="s">
        <v>662</v>
      </c>
      <c r="S8" s="571" t="s">
        <v>661</v>
      </c>
      <c r="T8" s="571" t="s">
        <v>662</v>
      </c>
      <c r="U8" s="571" t="s">
        <v>661</v>
      </c>
      <c r="V8" s="571" t="s">
        <v>662</v>
      </c>
      <c r="W8" s="571" t="s">
        <v>16</v>
      </c>
      <c r="X8" s="1111"/>
      <c r="Y8" s="1112"/>
    </row>
    <row r="9" spans="1:25" ht="22.5">
      <c r="A9" s="1105"/>
      <c r="B9" s="1106"/>
      <c r="C9" s="572" t="s">
        <v>582</v>
      </c>
      <c r="D9" s="572" t="s">
        <v>584</v>
      </c>
      <c r="E9" s="572" t="s">
        <v>582</v>
      </c>
      <c r="F9" s="572" t="s">
        <v>584</v>
      </c>
      <c r="G9" s="572" t="s">
        <v>582</v>
      </c>
      <c r="H9" s="572" t="s">
        <v>584</v>
      </c>
      <c r="I9" s="572" t="s">
        <v>582</v>
      </c>
      <c r="J9" s="572" t="s">
        <v>584</v>
      </c>
      <c r="K9" s="572" t="s">
        <v>582</v>
      </c>
      <c r="L9" s="572" t="s">
        <v>584</v>
      </c>
      <c r="M9" s="572" t="s">
        <v>582</v>
      </c>
      <c r="N9" s="572" t="s">
        <v>584</v>
      </c>
      <c r="O9" s="572" t="s">
        <v>582</v>
      </c>
      <c r="P9" s="572" t="s">
        <v>584</v>
      </c>
      <c r="Q9" s="572" t="s">
        <v>582</v>
      </c>
      <c r="R9" s="572" t="s">
        <v>584</v>
      </c>
      <c r="S9" s="572" t="s">
        <v>582</v>
      </c>
      <c r="T9" s="572" t="s">
        <v>584</v>
      </c>
      <c r="U9" s="572" t="s">
        <v>582</v>
      </c>
      <c r="V9" s="572" t="s">
        <v>584</v>
      </c>
      <c r="W9" s="572" t="s">
        <v>55</v>
      </c>
      <c r="X9" s="1113"/>
      <c r="Y9" s="1114"/>
    </row>
    <row r="10" spans="1:25" ht="21.6" customHeight="1" thickBot="1">
      <c r="A10" s="1096" t="s">
        <v>431</v>
      </c>
      <c r="B10" s="549" t="s">
        <v>581</v>
      </c>
      <c r="C10" s="605">
        <v>171</v>
      </c>
      <c r="D10" s="605">
        <v>33</v>
      </c>
      <c r="E10" s="605">
        <v>111</v>
      </c>
      <c r="F10" s="605">
        <v>16</v>
      </c>
      <c r="G10" s="605">
        <v>21</v>
      </c>
      <c r="H10" s="605">
        <v>2</v>
      </c>
      <c r="I10" s="605">
        <v>24</v>
      </c>
      <c r="J10" s="605">
        <v>3</v>
      </c>
      <c r="K10" s="605">
        <v>7</v>
      </c>
      <c r="L10" s="605">
        <v>3</v>
      </c>
      <c r="M10" s="605" t="s">
        <v>546</v>
      </c>
      <c r="N10" s="605" t="s">
        <v>546</v>
      </c>
      <c r="O10" s="605">
        <v>11</v>
      </c>
      <c r="P10" s="605" t="s">
        <v>546</v>
      </c>
      <c r="Q10" s="605">
        <v>7</v>
      </c>
      <c r="R10" s="605">
        <v>2</v>
      </c>
      <c r="S10" s="605">
        <v>0</v>
      </c>
      <c r="T10" s="605">
        <v>8</v>
      </c>
      <c r="U10" s="555">
        <f>C10+E10+G10+I10+K10+M10+O10+Q10+S10</f>
        <v>352</v>
      </c>
      <c r="V10" s="555">
        <f>D10+F10+H10+J10+L10+N10+P10+R10+T10</f>
        <v>67</v>
      </c>
      <c r="W10" s="555">
        <f>V10+U10</f>
        <v>419</v>
      </c>
      <c r="X10" s="559" t="s">
        <v>582</v>
      </c>
      <c r="Y10" s="1097" t="s">
        <v>62</v>
      </c>
    </row>
    <row r="11" spans="1:25" ht="21.6" customHeight="1" thickBot="1">
      <c r="A11" s="1080"/>
      <c r="B11" s="550" t="s">
        <v>583</v>
      </c>
      <c r="C11" s="606">
        <v>12</v>
      </c>
      <c r="D11" s="606">
        <v>432</v>
      </c>
      <c r="E11" s="606">
        <v>15</v>
      </c>
      <c r="F11" s="606">
        <v>45</v>
      </c>
      <c r="G11" s="606">
        <v>2</v>
      </c>
      <c r="H11" s="606">
        <v>13</v>
      </c>
      <c r="I11" s="606">
        <v>1</v>
      </c>
      <c r="J11" s="606">
        <v>4</v>
      </c>
      <c r="K11" s="606">
        <v>1</v>
      </c>
      <c r="L11" s="606">
        <v>3</v>
      </c>
      <c r="M11" s="606">
        <v>1</v>
      </c>
      <c r="N11" s="606" t="s">
        <v>546</v>
      </c>
      <c r="O11" s="606" t="s">
        <v>546</v>
      </c>
      <c r="P11" s="606">
        <v>5</v>
      </c>
      <c r="Q11" s="606">
        <v>1</v>
      </c>
      <c r="R11" s="606" t="s">
        <v>546</v>
      </c>
      <c r="S11" s="606">
        <v>0</v>
      </c>
      <c r="T11" s="606">
        <v>4</v>
      </c>
      <c r="U11" s="735">
        <f t="shared" ref="U11:U27" si="0">C11+E11+G11+I11+K11+M11+O11+Q11+S11</f>
        <v>33</v>
      </c>
      <c r="V11" s="735">
        <f t="shared" ref="V11:V27" si="1">D11+F11+H11+J11+L11+N11+P11+R11+T11</f>
        <v>506</v>
      </c>
      <c r="W11" s="735">
        <f t="shared" ref="W11:W27" si="2">V11+U11</f>
        <v>539</v>
      </c>
      <c r="X11" s="560" t="s">
        <v>584</v>
      </c>
      <c r="Y11" s="1082"/>
    </row>
    <row r="12" spans="1:25" ht="21.6" customHeight="1" thickBot="1">
      <c r="A12" s="1092" t="s">
        <v>432</v>
      </c>
      <c r="B12" s="551" t="s">
        <v>581</v>
      </c>
      <c r="C12" s="607">
        <v>106</v>
      </c>
      <c r="D12" s="607">
        <v>32</v>
      </c>
      <c r="E12" s="607">
        <v>263</v>
      </c>
      <c r="F12" s="607">
        <v>23</v>
      </c>
      <c r="G12" s="607">
        <v>16</v>
      </c>
      <c r="H12" s="607">
        <v>3</v>
      </c>
      <c r="I12" s="607">
        <v>22</v>
      </c>
      <c r="J12" s="607">
        <v>5</v>
      </c>
      <c r="K12" s="607">
        <v>4</v>
      </c>
      <c r="L12" s="607" t="s">
        <v>546</v>
      </c>
      <c r="M12" s="607">
        <v>1</v>
      </c>
      <c r="N12" s="607" t="s">
        <v>546</v>
      </c>
      <c r="O12" s="607">
        <v>24</v>
      </c>
      <c r="P12" s="607">
        <v>1</v>
      </c>
      <c r="Q12" s="607">
        <v>42</v>
      </c>
      <c r="R12" s="607">
        <v>4</v>
      </c>
      <c r="S12" s="607">
        <v>0</v>
      </c>
      <c r="T12" s="607">
        <v>6</v>
      </c>
      <c r="U12" s="556">
        <f t="shared" si="0"/>
        <v>478</v>
      </c>
      <c r="V12" s="556">
        <f t="shared" si="1"/>
        <v>74</v>
      </c>
      <c r="W12" s="556">
        <f t="shared" si="2"/>
        <v>552</v>
      </c>
      <c r="X12" s="561" t="s">
        <v>582</v>
      </c>
      <c r="Y12" s="1093" t="s">
        <v>61</v>
      </c>
    </row>
    <row r="13" spans="1:25" ht="21.6" customHeight="1" thickBot="1">
      <c r="A13" s="1092"/>
      <c r="B13" s="551" t="s">
        <v>583</v>
      </c>
      <c r="C13" s="607">
        <v>3</v>
      </c>
      <c r="D13" s="607">
        <v>51</v>
      </c>
      <c r="E13" s="607">
        <v>15</v>
      </c>
      <c r="F13" s="607">
        <v>55</v>
      </c>
      <c r="G13" s="607" t="s">
        <v>546</v>
      </c>
      <c r="H13" s="607">
        <v>10</v>
      </c>
      <c r="I13" s="607" t="s">
        <v>546</v>
      </c>
      <c r="J13" s="607">
        <v>11</v>
      </c>
      <c r="K13" s="607">
        <v>1</v>
      </c>
      <c r="L13" s="607">
        <v>2</v>
      </c>
      <c r="M13" s="607" t="s">
        <v>546</v>
      </c>
      <c r="N13" s="607" t="s">
        <v>546</v>
      </c>
      <c r="O13" s="607">
        <v>1</v>
      </c>
      <c r="P13" s="607">
        <v>3</v>
      </c>
      <c r="Q13" s="607">
        <v>2</v>
      </c>
      <c r="R13" s="607" t="s">
        <v>546</v>
      </c>
      <c r="S13" s="607">
        <v>0</v>
      </c>
      <c r="T13" s="607" t="s">
        <v>546</v>
      </c>
      <c r="U13" s="556">
        <f t="shared" si="0"/>
        <v>22</v>
      </c>
      <c r="V13" s="556">
        <f t="shared" si="1"/>
        <v>132</v>
      </c>
      <c r="W13" s="556">
        <f t="shared" si="2"/>
        <v>154</v>
      </c>
      <c r="X13" s="561" t="s">
        <v>584</v>
      </c>
      <c r="Y13" s="1093"/>
    </row>
    <row r="14" spans="1:25" ht="21.6" customHeight="1" thickBot="1">
      <c r="A14" s="1080" t="s">
        <v>433</v>
      </c>
      <c r="B14" s="550" t="s">
        <v>581</v>
      </c>
      <c r="C14" s="606">
        <v>17</v>
      </c>
      <c r="D14" s="606">
        <v>5</v>
      </c>
      <c r="E14" s="606">
        <v>21</v>
      </c>
      <c r="F14" s="606">
        <v>3</v>
      </c>
      <c r="G14" s="606">
        <v>23</v>
      </c>
      <c r="H14" s="606" t="s">
        <v>546</v>
      </c>
      <c r="I14" s="606">
        <v>1</v>
      </c>
      <c r="J14" s="606" t="s">
        <v>546</v>
      </c>
      <c r="K14" s="606">
        <v>2</v>
      </c>
      <c r="L14" s="606" t="s">
        <v>546</v>
      </c>
      <c r="M14" s="606" t="s">
        <v>546</v>
      </c>
      <c r="N14" s="606" t="s">
        <v>546</v>
      </c>
      <c r="O14" s="606">
        <v>2</v>
      </c>
      <c r="P14" s="606" t="s">
        <v>546</v>
      </c>
      <c r="Q14" s="606">
        <v>4</v>
      </c>
      <c r="R14" s="606" t="s">
        <v>546</v>
      </c>
      <c r="S14" s="606">
        <v>0</v>
      </c>
      <c r="T14" s="606" t="s">
        <v>546</v>
      </c>
      <c r="U14" s="735">
        <f t="shared" si="0"/>
        <v>70</v>
      </c>
      <c r="V14" s="735">
        <f t="shared" si="1"/>
        <v>8</v>
      </c>
      <c r="W14" s="735">
        <f t="shared" si="2"/>
        <v>78</v>
      </c>
      <c r="X14" s="560" t="s">
        <v>582</v>
      </c>
      <c r="Y14" s="1082" t="s">
        <v>60</v>
      </c>
    </row>
    <row r="15" spans="1:25" ht="21.6" customHeight="1" thickBot="1">
      <c r="A15" s="1080"/>
      <c r="B15" s="550" t="s">
        <v>583</v>
      </c>
      <c r="C15" s="606">
        <v>1</v>
      </c>
      <c r="D15" s="606">
        <v>10</v>
      </c>
      <c r="E15" s="606">
        <v>1</v>
      </c>
      <c r="F15" s="606">
        <v>7</v>
      </c>
      <c r="G15" s="606">
        <v>2</v>
      </c>
      <c r="H15" s="606">
        <v>8</v>
      </c>
      <c r="I15" s="606" t="s">
        <v>546</v>
      </c>
      <c r="J15" s="606">
        <v>2</v>
      </c>
      <c r="K15" s="606" t="s">
        <v>546</v>
      </c>
      <c r="L15" s="606" t="s">
        <v>546</v>
      </c>
      <c r="M15" s="606" t="s">
        <v>546</v>
      </c>
      <c r="N15" s="606" t="s">
        <v>546</v>
      </c>
      <c r="O15" s="606" t="s">
        <v>546</v>
      </c>
      <c r="P15" s="606">
        <v>1</v>
      </c>
      <c r="Q15" s="606" t="s">
        <v>546</v>
      </c>
      <c r="R15" s="606" t="s">
        <v>546</v>
      </c>
      <c r="S15" s="606">
        <v>0</v>
      </c>
      <c r="T15" s="606" t="s">
        <v>546</v>
      </c>
      <c r="U15" s="735">
        <f t="shared" si="0"/>
        <v>4</v>
      </c>
      <c r="V15" s="735">
        <f t="shared" si="1"/>
        <v>28</v>
      </c>
      <c r="W15" s="735">
        <f t="shared" si="2"/>
        <v>32</v>
      </c>
      <c r="X15" s="560" t="s">
        <v>584</v>
      </c>
      <c r="Y15" s="1082"/>
    </row>
    <row r="16" spans="1:25" ht="21.6" customHeight="1" thickBot="1">
      <c r="A16" s="1092" t="s">
        <v>726</v>
      </c>
      <c r="B16" s="551" t="s">
        <v>581</v>
      </c>
      <c r="C16" s="607">
        <v>24</v>
      </c>
      <c r="D16" s="607">
        <v>5</v>
      </c>
      <c r="E16" s="607">
        <v>20</v>
      </c>
      <c r="F16" s="607">
        <v>4</v>
      </c>
      <c r="G16" s="607">
        <v>2</v>
      </c>
      <c r="H16" s="607" t="s">
        <v>546</v>
      </c>
      <c r="I16" s="607">
        <v>18</v>
      </c>
      <c r="J16" s="607">
        <v>5</v>
      </c>
      <c r="K16" s="607">
        <v>2</v>
      </c>
      <c r="L16" s="607" t="s">
        <v>546</v>
      </c>
      <c r="M16" s="607" t="s">
        <v>546</v>
      </c>
      <c r="N16" s="607" t="s">
        <v>546</v>
      </c>
      <c r="O16" s="607">
        <v>6</v>
      </c>
      <c r="P16" s="607">
        <v>2</v>
      </c>
      <c r="Q16" s="607">
        <v>1</v>
      </c>
      <c r="R16" s="607">
        <v>1</v>
      </c>
      <c r="S16" s="607">
        <v>0</v>
      </c>
      <c r="T16" s="607" t="s">
        <v>546</v>
      </c>
      <c r="U16" s="556">
        <f t="shared" si="0"/>
        <v>73</v>
      </c>
      <c r="V16" s="556">
        <f t="shared" si="1"/>
        <v>17</v>
      </c>
      <c r="W16" s="556">
        <f t="shared" si="2"/>
        <v>90</v>
      </c>
      <c r="X16" s="561" t="s">
        <v>582</v>
      </c>
      <c r="Y16" s="1093" t="s">
        <v>59</v>
      </c>
    </row>
    <row r="17" spans="1:25" ht="21.6" customHeight="1" thickBot="1">
      <c r="A17" s="1092"/>
      <c r="B17" s="551" t="s">
        <v>583</v>
      </c>
      <c r="C17" s="607">
        <v>1</v>
      </c>
      <c r="D17" s="607">
        <v>11</v>
      </c>
      <c r="E17" s="607">
        <v>1</v>
      </c>
      <c r="F17" s="607">
        <v>9</v>
      </c>
      <c r="G17" s="607" t="s">
        <v>546</v>
      </c>
      <c r="H17" s="607">
        <v>2</v>
      </c>
      <c r="I17" s="607">
        <v>1</v>
      </c>
      <c r="J17" s="607">
        <v>9</v>
      </c>
      <c r="K17" s="607" t="s">
        <v>546</v>
      </c>
      <c r="L17" s="607" t="s">
        <v>546</v>
      </c>
      <c r="M17" s="607" t="s">
        <v>546</v>
      </c>
      <c r="N17" s="607">
        <v>1</v>
      </c>
      <c r="O17" s="607" t="s">
        <v>546</v>
      </c>
      <c r="P17" s="607">
        <v>2</v>
      </c>
      <c r="Q17" s="607" t="s">
        <v>546</v>
      </c>
      <c r="R17" s="607">
        <v>1</v>
      </c>
      <c r="S17" s="607">
        <v>0</v>
      </c>
      <c r="T17" s="607" t="s">
        <v>546</v>
      </c>
      <c r="U17" s="556">
        <f t="shared" si="0"/>
        <v>3</v>
      </c>
      <c r="V17" s="556">
        <f t="shared" si="1"/>
        <v>35</v>
      </c>
      <c r="W17" s="556">
        <f t="shared" si="2"/>
        <v>38</v>
      </c>
      <c r="X17" s="561" t="s">
        <v>584</v>
      </c>
      <c r="Y17" s="1093"/>
    </row>
    <row r="18" spans="1:25" ht="21.6" customHeight="1" thickBot="1">
      <c r="A18" s="1080" t="s">
        <v>435</v>
      </c>
      <c r="B18" s="550" t="s">
        <v>581</v>
      </c>
      <c r="C18" s="606">
        <v>8</v>
      </c>
      <c r="D18" s="606">
        <v>1</v>
      </c>
      <c r="E18" s="606">
        <v>1</v>
      </c>
      <c r="F18" s="606" t="s">
        <v>546</v>
      </c>
      <c r="G18" s="606">
        <v>1</v>
      </c>
      <c r="H18" s="606">
        <v>1</v>
      </c>
      <c r="I18" s="606">
        <v>2</v>
      </c>
      <c r="J18" s="606" t="s">
        <v>546</v>
      </c>
      <c r="K18" s="606">
        <v>4</v>
      </c>
      <c r="L18" s="606" t="s">
        <v>546</v>
      </c>
      <c r="M18" s="606" t="s">
        <v>546</v>
      </c>
      <c r="N18" s="606" t="s">
        <v>546</v>
      </c>
      <c r="O18" s="606">
        <v>2</v>
      </c>
      <c r="P18" s="606" t="s">
        <v>546</v>
      </c>
      <c r="Q18" s="606" t="s">
        <v>546</v>
      </c>
      <c r="R18" s="606" t="s">
        <v>546</v>
      </c>
      <c r="S18" s="606">
        <v>0</v>
      </c>
      <c r="T18" s="606">
        <v>1</v>
      </c>
      <c r="U18" s="735">
        <f t="shared" si="0"/>
        <v>18</v>
      </c>
      <c r="V18" s="735">
        <f t="shared" si="1"/>
        <v>3</v>
      </c>
      <c r="W18" s="735">
        <f t="shared" si="2"/>
        <v>21</v>
      </c>
      <c r="X18" s="560" t="s">
        <v>582</v>
      </c>
      <c r="Y18" s="1082" t="s">
        <v>58</v>
      </c>
    </row>
    <row r="19" spans="1:25" ht="21.6" customHeight="1" thickBot="1">
      <c r="A19" s="1080"/>
      <c r="B19" s="550" t="s">
        <v>583</v>
      </c>
      <c r="C19" s="606" t="s">
        <v>546</v>
      </c>
      <c r="D19" s="606">
        <v>4</v>
      </c>
      <c r="E19" s="606">
        <v>2</v>
      </c>
      <c r="F19" s="606">
        <v>3</v>
      </c>
      <c r="G19" s="606" t="s">
        <v>546</v>
      </c>
      <c r="H19" s="606" t="s">
        <v>546</v>
      </c>
      <c r="I19" s="606" t="s">
        <v>546</v>
      </c>
      <c r="J19" s="606" t="s">
        <v>546</v>
      </c>
      <c r="K19" s="606" t="s">
        <v>546</v>
      </c>
      <c r="L19" s="606">
        <v>2</v>
      </c>
      <c r="M19" s="606" t="s">
        <v>546</v>
      </c>
      <c r="N19" s="606" t="s">
        <v>546</v>
      </c>
      <c r="O19" s="606">
        <v>1</v>
      </c>
      <c r="P19" s="606">
        <v>1</v>
      </c>
      <c r="Q19" s="606" t="s">
        <v>546</v>
      </c>
      <c r="R19" s="606" t="s">
        <v>546</v>
      </c>
      <c r="S19" s="606">
        <v>0</v>
      </c>
      <c r="T19" s="606" t="s">
        <v>546</v>
      </c>
      <c r="U19" s="735">
        <f t="shared" si="0"/>
        <v>3</v>
      </c>
      <c r="V19" s="735">
        <f t="shared" si="1"/>
        <v>10</v>
      </c>
      <c r="W19" s="735">
        <f t="shared" si="2"/>
        <v>13</v>
      </c>
      <c r="X19" s="560" t="s">
        <v>584</v>
      </c>
      <c r="Y19" s="1082"/>
    </row>
    <row r="20" spans="1:25" ht="21.6" customHeight="1" thickBot="1">
      <c r="A20" s="1092" t="s">
        <v>436</v>
      </c>
      <c r="B20" s="551" t="s">
        <v>581</v>
      </c>
      <c r="C20" s="607">
        <v>1</v>
      </c>
      <c r="D20" s="607" t="s">
        <v>546</v>
      </c>
      <c r="E20" s="607">
        <v>1</v>
      </c>
      <c r="F20" s="607" t="s">
        <v>546</v>
      </c>
      <c r="G20" s="607" t="s">
        <v>546</v>
      </c>
      <c r="H20" s="607" t="s">
        <v>546</v>
      </c>
      <c r="I20" s="607">
        <v>1</v>
      </c>
      <c r="J20" s="607" t="s">
        <v>546</v>
      </c>
      <c r="K20" s="607">
        <v>1</v>
      </c>
      <c r="L20" s="607" t="s">
        <v>546</v>
      </c>
      <c r="M20" s="607" t="s">
        <v>546</v>
      </c>
      <c r="N20" s="607" t="s">
        <v>546</v>
      </c>
      <c r="O20" s="607" t="s">
        <v>546</v>
      </c>
      <c r="P20" s="607" t="s">
        <v>546</v>
      </c>
      <c r="Q20" s="607" t="s">
        <v>546</v>
      </c>
      <c r="R20" s="607" t="s">
        <v>546</v>
      </c>
      <c r="S20" s="607">
        <v>0</v>
      </c>
      <c r="T20" s="607" t="s">
        <v>546</v>
      </c>
      <c r="U20" s="556">
        <f t="shared" si="0"/>
        <v>4</v>
      </c>
      <c r="V20" s="556">
        <f t="shared" si="1"/>
        <v>0</v>
      </c>
      <c r="W20" s="556">
        <f t="shared" si="2"/>
        <v>4</v>
      </c>
      <c r="X20" s="561" t="s">
        <v>582</v>
      </c>
      <c r="Y20" s="1093" t="s">
        <v>57</v>
      </c>
    </row>
    <row r="21" spans="1:25" ht="21.6" customHeight="1" thickBot="1">
      <c r="A21" s="1092"/>
      <c r="B21" s="551" t="s">
        <v>583</v>
      </c>
      <c r="C21" s="607">
        <v>0</v>
      </c>
      <c r="D21" s="607">
        <v>0</v>
      </c>
      <c r="E21" s="607">
        <v>0</v>
      </c>
      <c r="F21" s="607">
        <v>0</v>
      </c>
      <c r="G21" s="607">
        <v>0</v>
      </c>
      <c r="H21" s="607">
        <v>0</v>
      </c>
      <c r="I21" s="607">
        <v>0</v>
      </c>
      <c r="J21" s="607">
        <v>0</v>
      </c>
      <c r="K21" s="607">
        <v>0</v>
      </c>
      <c r="L21" s="607">
        <v>0</v>
      </c>
      <c r="M21" s="607">
        <v>0</v>
      </c>
      <c r="N21" s="607">
        <v>0</v>
      </c>
      <c r="O21" s="607">
        <v>0</v>
      </c>
      <c r="P21" s="607">
        <v>0</v>
      </c>
      <c r="Q21" s="607">
        <v>0</v>
      </c>
      <c r="R21" s="607">
        <v>0</v>
      </c>
      <c r="S21" s="607">
        <v>0</v>
      </c>
      <c r="T21" s="607">
        <v>0</v>
      </c>
      <c r="U21" s="556">
        <f t="shared" si="0"/>
        <v>0</v>
      </c>
      <c r="V21" s="556">
        <f t="shared" si="1"/>
        <v>0</v>
      </c>
      <c r="W21" s="556">
        <f t="shared" si="2"/>
        <v>0</v>
      </c>
      <c r="X21" s="561" t="s">
        <v>584</v>
      </c>
      <c r="Y21" s="1093"/>
    </row>
    <row r="22" spans="1:25" ht="21.6" customHeight="1" thickBot="1">
      <c r="A22" s="1080" t="s">
        <v>538</v>
      </c>
      <c r="B22" s="550" t="s">
        <v>581</v>
      </c>
      <c r="C22" s="606">
        <v>17</v>
      </c>
      <c r="D22" s="606">
        <v>4</v>
      </c>
      <c r="E22" s="606">
        <v>18</v>
      </c>
      <c r="F22" s="606" t="s">
        <v>546</v>
      </c>
      <c r="G22" s="606">
        <v>3</v>
      </c>
      <c r="H22" s="606">
        <v>1</v>
      </c>
      <c r="I22" s="606">
        <v>2</v>
      </c>
      <c r="J22" s="606">
        <v>2</v>
      </c>
      <c r="K22" s="606" t="s">
        <v>546</v>
      </c>
      <c r="L22" s="606" t="s">
        <v>546</v>
      </c>
      <c r="M22" s="606" t="s">
        <v>546</v>
      </c>
      <c r="N22" s="606" t="s">
        <v>546</v>
      </c>
      <c r="O22" s="606">
        <v>3</v>
      </c>
      <c r="P22" s="606" t="s">
        <v>546</v>
      </c>
      <c r="Q22" s="606">
        <v>2</v>
      </c>
      <c r="R22" s="606">
        <v>1</v>
      </c>
      <c r="S22" s="606">
        <v>0</v>
      </c>
      <c r="T22" s="606" t="s">
        <v>546</v>
      </c>
      <c r="U22" s="735">
        <f t="shared" si="0"/>
        <v>45</v>
      </c>
      <c r="V22" s="735">
        <f t="shared" si="1"/>
        <v>8</v>
      </c>
      <c r="W22" s="735">
        <f t="shared" si="2"/>
        <v>53</v>
      </c>
      <c r="X22" s="560" t="s">
        <v>582</v>
      </c>
      <c r="Y22" s="1082" t="s">
        <v>56</v>
      </c>
    </row>
    <row r="23" spans="1:25" ht="21.6" customHeight="1" thickBot="1">
      <c r="A23" s="1080"/>
      <c r="B23" s="550" t="s">
        <v>583</v>
      </c>
      <c r="C23" s="606" t="s">
        <v>546</v>
      </c>
      <c r="D23" s="606">
        <v>8</v>
      </c>
      <c r="E23" s="606" t="s">
        <v>546</v>
      </c>
      <c r="F23" s="606" t="s">
        <v>546</v>
      </c>
      <c r="G23" s="606" t="s">
        <v>546</v>
      </c>
      <c r="H23" s="606" t="s">
        <v>546</v>
      </c>
      <c r="I23" s="606" t="s">
        <v>546</v>
      </c>
      <c r="J23" s="606">
        <v>1</v>
      </c>
      <c r="K23" s="606" t="s">
        <v>546</v>
      </c>
      <c r="L23" s="606" t="s">
        <v>546</v>
      </c>
      <c r="M23" s="606" t="s">
        <v>546</v>
      </c>
      <c r="N23" s="606" t="s">
        <v>546</v>
      </c>
      <c r="O23" s="606" t="s">
        <v>546</v>
      </c>
      <c r="P23" s="606">
        <v>5</v>
      </c>
      <c r="Q23" s="606" t="s">
        <v>546</v>
      </c>
      <c r="R23" s="606">
        <v>1</v>
      </c>
      <c r="S23" s="606">
        <v>0</v>
      </c>
      <c r="T23" s="606" t="s">
        <v>546</v>
      </c>
      <c r="U23" s="735">
        <f t="shared" si="0"/>
        <v>0</v>
      </c>
      <c r="V23" s="735">
        <f t="shared" si="1"/>
        <v>15</v>
      </c>
      <c r="W23" s="735">
        <f t="shared" si="2"/>
        <v>15</v>
      </c>
      <c r="X23" s="560" t="s">
        <v>584</v>
      </c>
      <c r="Y23" s="1082"/>
    </row>
    <row r="24" spans="1:25" ht="21.6" customHeight="1" thickBot="1">
      <c r="A24" s="1092" t="s">
        <v>569</v>
      </c>
      <c r="B24" s="551" t="s">
        <v>581</v>
      </c>
      <c r="C24" s="607">
        <v>10</v>
      </c>
      <c r="D24" s="607">
        <v>5</v>
      </c>
      <c r="E24" s="607">
        <v>54</v>
      </c>
      <c r="F24" s="607">
        <v>5</v>
      </c>
      <c r="G24" s="607">
        <v>1</v>
      </c>
      <c r="H24" s="607" t="s">
        <v>546</v>
      </c>
      <c r="I24" s="607">
        <v>2</v>
      </c>
      <c r="J24" s="607" t="s">
        <v>546</v>
      </c>
      <c r="K24" s="607">
        <v>1</v>
      </c>
      <c r="L24" s="607" t="s">
        <v>546</v>
      </c>
      <c r="M24" s="607" t="s">
        <v>546</v>
      </c>
      <c r="N24" s="607" t="s">
        <v>546</v>
      </c>
      <c r="O24" s="607" t="s">
        <v>546</v>
      </c>
      <c r="P24" s="607" t="s">
        <v>546</v>
      </c>
      <c r="Q24" s="607">
        <v>28</v>
      </c>
      <c r="R24" s="607">
        <v>1</v>
      </c>
      <c r="S24" s="607">
        <v>0</v>
      </c>
      <c r="T24" s="607" t="s">
        <v>546</v>
      </c>
      <c r="U24" s="556">
        <f t="shared" si="0"/>
        <v>96</v>
      </c>
      <c r="V24" s="556">
        <f t="shared" si="1"/>
        <v>11</v>
      </c>
      <c r="W24" s="556">
        <f t="shared" si="2"/>
        <v>107</v>
      </c>
      <c r="X24" s="561" t="s">
        <v>582</v>
      </c>
      <c r="Y24" s="1093" t="s">
        <v>585</v>
      </c>
    </row>
    <row r="25" spans="1:25" ht="21.6" customHeight="1" thickBot="1">
      <c r="A25" s="1092"/>
      <c r="B25" s="551" t="s">
        <v>583</v>
      </c>
      <c r="C25" s="607" t="s">
        <v>546</v>
      </c>
      <c r="D25" s="607">
        <v>2</v>
      </c>
      <c r="E25" s="607">
        <v>1</v>
      </c>
      <c r="F25" s="607">
        <v>2</v>
      </c>
      <c r="G25" s="607" t="s">
        <v>546</v>
      </c>
      <c r="H25" s="607" t="s">
        <v>546</v>
      </c>
      <c r="I25" s="607" t="s">
        <v>546</v>
      </c>
      <c r="J25" s="607" t="s">
        <v>546</v>
      </c>
      <c r="K25" s="607" t="s">
        <v>546</v>
      </c>
      <c r="L25" s="607" t="s">
        <v>546</v>
      </c>
      <c r="M25" s="607" t="s">
        <v>546</v>
      </c>
      <c r="N25" s="607" t="s">
        <v>546</v>
      </c>
      <c r="O25" s="607" t="s">
        <v>546</v>
      </c>
      <c r="P25" s="607" t="s">
        <v>546</v>
      </c>
      <c r="Q25" s="607">
        <v>1</v>
      </c>
      <c r="R25" s="607">
        <v>2</v>
      </c>
      <c r="S25" s="607">
        <v>0</v>
      </c>
      <c r="T25" s="607">
        <v>1</v>
      </c>
      <c r="U25" s="556">
        <f t="shared" si="0"/>
        <v>2</v>
      </c>
      <c r="V25" s="556">
        <f t="shared" si="1"/>
        <v>7</v>
      </c>
      <c r="W25" s="556">
        <f t="shared" si="2"/>
        <v>9</v>
      </c>
      <c r="X25" s="561" t="s">
        <v>584</v>
      </c>
      <c r="Y25" s="1093"/>
    </row>
    <row r="26" spans="1:25" ht="21.6" customHeight="1" thickBot="1">
      <c r="A26" s="1080" t="s">
        <v>576</v>
      </c>
      <c r="B26" s="550" t="s">
        <v>581</v>
      </c>
      <c r="C26" s="606">
        <v>0</v>
      </c>
      <c r="D26" s="606">
        <v>0</v>
      </c>
      <c r="E26" s="606">
        <v>0</v>
      </c>
      <c r="F26" s="606">
        <v>0</v>
      </c>
      <c r="G26" s="606">
        <v>0</v>
      </c>
      <c r="H26" s="606">
        <v>0</v>
      </c>
      <c r="I26" s="606">
        <v>0</v>
      </c>
      <c r="J26" s="606">
        <v>0</v>
      </c>
      <c r="K26" s="606">
        <v>0</v>
      </c>
      <c r="L26" s="606">
        <v>0</v>
      </c>
      <c r="M26" s="606">
        <v>0</v>
      </c>
      <c r="N26" s="606">
        <v>0</v>
      </c>
      <c r="O26" s="606">
        <v>0</v>
      </c>
      <c r="P26" s="606">
        <v>0</v>
      </c>
      <c r="Q26" s="606">
        <v>0</v>
      </c>
      <c r="R26" s="606" t="s">
        <v>546</v>
      </c>
      <c r="S26" s="606">
        <v>0</v>
      </c>
      <c r="T26" s="606" t="s">
        <v>546</v>
      </c>
      <c r="U26" s="735">
        <f t="shared" si="0"/>
        <v>0</v>
      </c>
      <c r="V26" s="735">
        <f t="shared" si="1"/>
        <v>0</v>
      </c>
      <c r="W26" s="735">
        <f t="shared" si="2"/>
        <v>0</v>
      </c>
      <c r="X26" s="560" t="s">
        <v>582</v>
      </c>
      <c r="Y26" s="1082" t="s">
        <v>586</v>
      </c>
    </row>
    <row r="27" spans="1:25" ht="21.6" customHeight="1">
      <c r="A27" s="1081"/>
      <c r="B27" s="552" t="s">
        <v>583</v>
      </c>
      <c r="C27" s="608">
        <v>2</v>
      </c>
      <c r="D27" s="608">
        <v>1</v>
      </c>
      <c r="E27" s="608">
        <v>7</v>
      </c>
      <c r="F27" s="608">
        <v>1</v>
      </c>
      <c r="G27" s="608">
        <v>1</v>
      </c>
      <c r="H27" s="608" t="s">
        <v>546</v>
      </c>
      <c r="I27" s="608">
        <v>2</v>
      </c>
      <c r="J27" s="608" t="s">
        <v>546</v>
      </c>
      <c r="K27" s="608" t="s">
        <v>546</v>
      </c>
      <c r="L27" s="608" t="s">
        <v>546</v>
      </c>
      <c r="M27" s="608" t="s">
        <v>546</v>
      </c>
      <c r="N27" s="608" t="s">
        <v>546</v>
      </c>
      <c r="O27" s="608">
        <v>1</v>
      </c>
      <c r="P27" s="608">
        <v>1</v>
      </c>
      <c r="Q27" s="608">
        <v>1</v>
      </c>
      <c r="R27" s="608" t="s">
        <v>546</v>
      </c>
      <c r="S27" s="608">
        <v>0</v>
      </c>
      <c r="T27" s="608">
        <v>0</v>
      </c>
      <c r="U27" s="736">
        <f t="shared" si="0"/>
        <v>14</v>
      </c>
      <c r="V27" s="736">
        <f t="shared" si="1"/>
        <v>3</v>
      </c>
      <c r="W27" s="736">
        <f t="shared" si="2"/>
        <v>17</v>
      </c>
      <c r="X27" s="562" t="s">
        <v>584</v>
      </c>
      <c r="Y27" s="1083"/>
    </row>
    <row r="28" spans="1:25" ht="21.6" customHeight="1" thickBot="1">
      <c r="A28" s="1084" t="s">
        <v>16</v>
      </c>
      <c r="B28" s="553" t="s">
        <v>581</v>
      </c>
      <c r="C28" s="557">
        <f>C10+C12+C14+C16+C18+C20+C22+C24+C26</f>
        <v>354</v>
      </c>
      <c r="D28" s="557">
        <f t="shared" ref="D28:W29" si="3">D10+D12+D14+D16+D18+D20+D22+D24+D26</f>
        <v>85</v>
      </c>
      <c r="E28" s="557">
        <f t="shared" si="3"/>
        <v>489</v>
      </c>
      <c r="F28" s="557">
        <f t="shared" si="3"/>
        <v>51</v>
      </c>
      <c r="G28" s="557">
        <f t="shared" si="3"/>
        <v>67</v>
      </c>
      <c r="H28" s="557">
        <f t="shared" si="3"/>
        <v>7</v>
      </c>
      <c r="I28" s="557">
        <f t="shared" si="3"/>
        <v>72</v>
      </c>
      <c r="J28" s="557">
        <f t="shared" si="3"/>
        <v>15</v>
      </c>
      <c r="K28" s="557">
        <f t="shared" si="3"/>
        <v>21</v>
      </c>
      <c r="L28" s="557">
        <f t="shared" si="3"/>
        <v>3</v>
      </c>
      <c r="M28" s="557">
        <f t="shared" si="3"/>
        <v>1</v>
      </c>
      <c r="N28" s="557">
        <f t="shared" ref="N28:T29" si="4">N10+N12+N14+N16+N18+N20+N22+N24+N26</f>
        <v>0</v>
      </c>
      <c r="O28" s="557">
        <f t="shared" si="4"/>
        <v>48</v>
      </c>
      <c r="P28" s="557">
        <f t="shared" si="4"/>
        <v>3</v>
      </c>
      <c r="Q28" s="557">
        <f t="shared" si="4"/>
        <v>84</v>
      </c>
      <c r="R28" s="557">
        <f t="shared" si="4"/>
        <v>9</v>
      </c>
      <c r="S28" s="557">
        <f t="shared" si="4"/>
        <v>0</v>
      </c>
      <c r="T28" s="557">
        <f t="shared" si="4"/>
        <v>15</v>
      </c>
      <c r="U28" s="824">
        <f t="shared" si="3"/>
        <v>1136</v>
      </c>
      <c r="V28" s="824">
        <f t="shared" si="3"/>
        <v>188</v>
      </c>
      <c r="W28" s="824">
        <f t="shared" si="3"/>
        <v>1324</v>
      </c>
      <c r="X28" s="547" t="s">
        <v>582</v>
      </c>
      <c r="Y28" s="1087" t="s">
        <v>55</v>
      </c>
    </row>
    <row r="29" spans="1:25" ht="21.6" customHeight="1" thickBot="1">
      <c r="A29" s="1085"/>
      <c r="B29" s="551" t="s">
        <v>583</v>
      </c>
      <c r="C29" s="556">
        <f>C11+C13+C15+C17+C19+C21+C23+C25+C27</f>
        <v>19</v>
      </c>
      <c r="D29" s="556">
        <f t="shared" si="3"/>
        <v>519</v>
      </c>
      <c r="E29" s="556">
        <f t="shared" si="3"/>
        <v>42</v>
      </c>
      <c r="F29" s="556">
        <f t="shared" si="3"/>
        <v>122</v>
      </c>
      <c r="G29" s="556">
        <f t="shared" si="3"/>
        <v>5</v>
      </c>
      <c r="H29" s="556">
        <f t="shared" si="3"/>
        <v>33</v>
      </c>
      <c r="I29" s="556">
        <f t="shared" si="3"/>
        <v>4</v>
      </c>
      <c r="J29" s="556">
        <f t="shared" si="3"/>
        <v>27</v>
      </c>
      <c r="K29" s="556">
        <f t="shared" si="3"/>
        <v>2</v>
      </c>
      <c r="L29" s="556">
        <f t="shared" si="3"/>
        <v>7</v>
      </c>
      <c r="M29" s="556">
        <f t="shared" si="3"/>
        <v>1</v>
      </c>
      <c r="N29" s="556">
        <f t="shared" si="4"/>
        <v>1</v>
      </c>
      <c r="O29" s="556">
        <f t="shared" si="4"/>
        <v>3</v>
      </c>
      <c r="P29" s="556">
        <f t="shared" si="4"/>
        <v>18</v>
      </c>
      <c r="Q29" s="556">
        <f t="shared" si="4"/>
        <v>5</v>
      </c>
      <c r="R29" s="556">
        <f t="shared" si="4"/>
        <v>4</v>
      </c>
      <c r="S29" s="556">
        <f t="shared" si="4"/>
        <v>0</v>
      </c>
      <c r="T29" s="556">
        <f t="shared" si="4"/>
        <v>5</v>
      </c>
      <c r="U29" s="825">
        <f t="shared" si="3"/>
        <v>81</v>
      </c>
      <c r="V29" s="825">
        <f t="shared" si="3"/>
        <v>736</v>
      </c>
      <c r="W29" s="825">
        <f>W11+W13+W15+W17+W19+W21+W23+W25+W27</f>
        <v>817</v>
      </c>
      <c r="X29" s="544" t="s">
        <v>584</v>
      </c>
      <c r="Y29" s="1088"/>
    </row>
    <row r="30" spans="1:25" ht="21.6" customHeight="1">
      <c r="A30" s="1086"/>
      <c r="B30" s="554" t="s">
        <v>16</v>
      </c>
      <c r="C30" s="558">
        <f t="shared" ref="C30:W30" si="5">C28+C29</f>
        <v>373</v>
      </c>
      <c r="D30" s="558">
        <f t="shared" si="5"/>
        <v>604</v>
      </c>
      <c r="E30" s="558">
        <f t="shared" si="5"/>
        <v>531</v>
      </c>
      <c r="F30" s="558">
        <f t="shared" si="5"/>
        <v>173</v>
      </c>
      <c r="G30" s="558">
        <f t="shared" si="5"/>
        <v>72</v>
      </c>
      <c r="H30" s="558">
        <f t="shared" si="5"/>
        <v>40</v>
      </c>
      <c r="I30" s="558">
        <f t="shared" si="5"/>
        <v>76</v>
      </c>
      <c r="J30" s="558">
        <f t="shared" si="5"/>
        <v>42</v>
      </c>
      <c r="K30" s="558">
        <f t="shared" si="5"/>
        <v>23</v>
      </c>
      <c r="L30" s="558">
        <f t="shared" si="5"/>
        <v>10</v>
      </c>
      <c r="M30" s="558">
        <f t="shared" si="5"/>
        <v>2</v>
      </c>
      <c r="N30" s="558">
        <f t="shared" si="5"/>
        <v>1</v>
      </c>
      <c r="O30" s="558">
        <f t="shared" si="5"/>
        <v>51</v>
      </c>
      <c r="P30" s="558">
        <f t="shared" si="5"/>
        <v>21</v>
      </c>
      <c r="Q30" s="558">
        <f t="shared" si="5"/>
        <v>89</v>
      </c>
      <c r="R30" s="558">
        <f t="shared" si="5"/>
        <v>13</v>
      </c>
      <c r="S30" s="558">
        <f t="shared" si="5"/>
        <v>0</v>
      </c>
      <c r="T30" s="558">
        <f t="shared" si="5"/>
        <v>20</v>
      </c>
      <c r="U30" s="826">
        <f t="shared" si="5"/>
        <v>1217</v>
      </c>
      <c r="V30" s="826">
        <f t="shared" si="5"/>
        <v>924</v>
      </c>
      <c r="W30" s="826">
        <f t="shared" si="5"/>
        <v>2141</v>
      </c>
      <c r="X30" s="548" t="s">
        <v>55</v>
      </c>
      <c r="Y30" s="1089"/>
    </row>
    <row r="31" spans="1:25" s="924" customFormat="1" ht="14.25">
      <c r="A31" s="1090" t="s">
        <v>571</v>
      </c>
      <c r="B31" s="1090"/>
      <c r="C31" s="916"/>
      <c r="D31" s="916"/>
      <c r="U31" s="1091" t="s">
        <v>572</v>
      </c>
      <c r="V31" s="1091"/>
      <c r="W31" s="1091"/>
      <c r="X31" s="1091"/>
      <c r="Y31" s="1091"/>
    </row>
  </sheetData>
  <mergeCells count="39">
    <mergeCell ref="A1:Y1"/>
    <mergeCell ref="A2:Y2"/>
    <mergeCell ref="A3:Y3"/>
    <mergeCell ref="A6:B9"/>
    <mergeCell ref="C6:M6"/>
    <mergeCell ref="N6:W6"/>
    <mergeCell ref="X6:Y9"/>
    <mergeCell ref="C7:D7"/>
    <mergeCell ref="E7:F7"/>
    <mergeCell ref="G7:H7"/>
    <mergeCell ref="A14:A15"/>
    <mergeCell ref="Y14:Y15"/>
    <mergeCell ref="I7:J7"/>
    <mergeCell ref="K7:L7"/>
    <mergeCell ref="M7:N7"/>
    <mergeCell ref="O7:P7"/>
    <mergeCell ref="Q7:R7"/>
    <mergeCell ref="S7:T7"/>
    <mergeCell ref="U7:W7"/>
    <mergeCell ref="A10:A11"/>
    <mergeCell ref="Y10:Y11"/>
    <mergeCell ref="A12:A13"/>
    <mergeCell ref="Y12:Y13"/>
    <mergeCell ref="A16:A17"/>
    <mergeCell ref="Y16:Y17"/>
    <mergeCell ref="A18:A19"/>
    <mergeCell ref="Y18:Y19"/>
    <mergeCell ref="A20:A21"/>
    <mergeCell ref="Y20:Y21"/>
    <mergeCell ref="A28:A30"/>
    <mergeCell ref="Y28:Y30"/>
    <mergeCell ref="A31:B31"/>
    <mergeCell ref="U31:Y31"/>
    <mergeCell ref="A22:A23"/>
    <mergeCell ref="Y22:Y23"/>
    <mergeCell ref="A24:A25"/>
    <mergeCell ref="Y24:Y25"/>
    <mergeCell ref="A26:A27"/>
    <mergeCell ref="Y26:Y27"/>
  </mergeCells>
  <printOptions horizontalCentered="1" verticalCentered="1"/>
  <pageMargins left="0" right="0" top="0" bottom="0" header="0" footer="0"/>
  <pageSetup paperSize="9" scale="72" orientation="landscape" r:id="rId1"/>
  <headerFooter alignWithMargins="0"/>
  <colBreaks count="1" manualBreakCount="1">
    <brk id="2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00000"/>
  </sheetPr>
  <dimension ref="A1"/>
  <sheetViews>
    <sheetView rightToLeft="1" view="pageBreakPreview" zoomScaleNormal="100" zoomScaleSheetLayoutView="100" workbookViewId="0">
      <selection activeCell="N6" sqref="N6"/>
    </sheetView>
  </sheetViews>
  <sheetFormatPr defaultColWidth="9.140625" defaultRowHeight="12.75"/>
  <cols>
    <col min="1" max="16384" width="9.140625" style="1"/>
  </cols>
  <sheetData/>
  <printOptions horizontalCentered="1" verticalCentered="1"/>
  <pageMargins left="0" right="0" top="0.19685039370078741" bottom="0" header="0" footer="0"/>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59:K59"/>
  <sheetViews>
    <sheetView rightToLeft="1" view="pageBreakPreview" zoomScaleNormal="100" zoomScaleSheetLayoutView="100" workbookViewId="0">
      <selection activeCell="Q16" sqref="Q16"/>
    </sheetView>
  </sheetViews>
  <sheetFormatPr defaultColWidth="9.140625" defaultRowHeight="12.75"/>
  <cols>
    <col min="1" max="10" width="9.140625" style="1"/>
    <col min="11" max="11" width="8.5703125" style="1" customWidth="1"/>
    <col min="12" max="16384" width="9.140625" style="1"/>
  </cols>
  <sheetData>
    <row r="59" spans="1:11">
      <c r="A59" s="1070" t="s">
        <v>291</v>
      </c>
      <c r="B59" s="1116"/>
      <c r="C59" s="1116"/>
      <c r="D59" s="1116"/>
      <c r="E59" s="1116"/>
      <c r="F59" s="1116"/>
      <c r="G59" s="1116"/>
      <c r="H59" s="1116"/>
      <c r="I59" s="1116"/>
      <c r="J59" s="1116"/>
      <c r="K59" s="1116"/>
    </row>
  </sheetData>
  <mergeCells count="1">
    <mergeCell ref="A59:K59"/>
  </mergeCells>
  <printOptions horizontalCentered="1" verticalCentered="1"/>
  <pageMargins left="0" right="0" top="0.19685039370078741" bottom="0" header="0" footer="0"/>
  <pageSetup scale="92"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I40"/>
  <sheetViews>
    <sheetView rightToLeft="1" view="pageBreakPreview" topLeftCell="A7" zoomScaleNormal="100" zoomScaleSheetLayoutView="100" workbookViewId="0">
      <selection activeCell="G20" sqref="G20"/>
    </sheetView>
  </sheetViews>
  <sheetFormatPr defaultColWidth="9.140625" defaultRowHeight="12.75"/>
  <cols>
    <col min="1" max="1" width="17.85546875" style="1" customWidth="1"/>
    <col min="2" max="6" width="13.7109375" style="1" customWidth="1"/>
    <col min="7" max="7" width="11.7109375" style="1" customWidth="1"/>
    <col min="8" max="8" width="20.7109375" style="1" customWidth="1"/>
    <col min="9" max="16384" width="9.140625" style="1"/>
  </cols>
  <sheetData>
    <row r="1" spans="1:9" ht="18">
      <c r="A1" s="1041" t="s">
        <v>296</v>
      </c>
      <c r="B1" s="1041"/>
      <c r="C1" s="1041"/>
      <c r="D1" s="1041"/>
      <c r="E1" s="1041"/>
      <c r="F1" s="1041"/>
      <c r="G1" s="1041"/>
      <c r="H1" s="1041"/>
    </row>
    <row r="2" spans="1:9" ht="36" customHeight="1">
      <c r="A2" s="1068" t="s">
        <v>295</v>
      </c>
      <c r="B2" s="1068"/>
      <c r="C2" s="1068"/>
      <c r="D2" s="1068"/>
      <c r="E2" s="1068"/>
      <c r="F2" s="1068"/>
      <c r="G2" s="1068"/>
      <c r="H2" s="1068"/>
    </row>
    <row r="3" spans="1:9" ht="15.75">
      <c r="A3" s="1069">
        <v>2021</v>
      </c>
      <c r="B3" s="1069"/>
      <c r="C3" s="1069"/>
      <c r="D3" s="1069"/>
      <c r="E3" s="1069"/>
      <c r="F3" s="1069"/>
      <c r="G3" s="1069"/>
      <c r="H3" s="1069"/>
    </row>
    <row r="4" spans="1:9" ht="15.75">
      <c r="A4" s="362"/>
      <c r="B4" s="362"/>
      <c r="C4" s="362"/>
      <c r="D4" s="362"/>
      <c r="E4" s="362"/>
      <c r="F4" s="362"/>
      <c r="G4" s="362"/>
      <c r="H4" s="362"/>
    </row>
    <row r="5" spans="1:9" s="29" customFormat="1" ht="20.25" customHeight="1">
      <c r="A5" s="363" t="s">
        <v>398</v>
      </c>
      <c r="B5" s="364"/>
      <c r="C5" s="365"/>
      <c r="D5" s="365"/>
      <c r="E5" s="365"/>
      <c r="F5" s="365"/>
      <c r="G5" s="370"/>
      <c r="H5" s="370" t="s">
        <v>399</v>
      </c>
      <c r="I5" s="30"/>
    </row>
    <row r="6" spans="1:9" ht="30.75" customHeight="1" thickBot="1">
      <c r="A6" s="1176" t="s">
        <v>92</v>
      </c>
      <c r="B6" s="1119" t="s">
        <v>591</v>
      </c>
      <c r="C6" s="1119"/>
      <c r="D6" s="1119"/>
      <c r="E6" s="1119" t="s">
        <v>590</v>
      </c>
      <c r="F6" s="1119"/>
      <c r="G6" s="1119"/>
      <c r="H6" s="1049" t="s">
        <v>91</v>
      </c>
    </row>
    <row r="7" spans="1:9" ht="30.75" customHeight="1">
      <c r="A7" s="1177"/>
      <c r="B7" s="535" t="s">
        <v>1033</v>
      </c>
      <c r="C7" s="535" t="s">
        <v>1034</v>
      </c>
      <c r="D7" s="535" t="s">
        <v>437</v>
      </c>
      <c r="E7" s="535" t="s">
        <v>1035</v>
      </c>
      <c r="F7" s="535" t="s">
        <v>1036</v>
      </c>
      <c r="G7" s="535" t="s">
        <v>437</v>
      </c>
      <c r="H7" s="1175"/>
    </row>
    <row r="8" spans="1:9" ht="21.75" customHeight="1" thickBot="1">
      <c r="A8" s="133" t="s">
        <v>90</v>
      </c>
      <c r="B8" s="194">
        <v>122</v>
      </c>
      <c r="C8" s="194">
        <v>72</v>
      </c>
      <c r="D8" s="189">
        <v>194</v>
      </c>
      <c r="E8" s="194">
        <v>113</v>
      </c>
      <c r="F8" s="194">
        <v>81</v>
      </c>
      <c r="G8" s="189">
        <v>194</v>
      </c>
      <c r="H8" s="134" t="s">
        <v>89</v>
      </c>
    </row>
    <row r="9" spans="1:9" ht="21.75" customHeight="1" thickBot="1">
      <c r="A9" s="43" t="s">
        <v>88</v>
      </c>
      <c r="B9" s="31">
        <v>111</v>
      </c>
      <c r="C9" s="31">
        <v>72</v>
      </c>
      <c r="D9" s="189">
        <v>183</v>
      </c>
      <c r="E9" s="31">
        <v>100</v>
      </c>
      <c r="F9" s="31">
        <v>83</v>
      </c>
      <c r="G9" s="189">
        <v>183</v>
      </c>
      <c r="H9" s="42" t="s">
        <v>87</v>
      </c>
    </row>
    <row r="10" spans="1:9" ht="21.75" customHeight="1" thickBot="1">
      <c r="A10" s="135" t="s">
        <v>86</v>
      </c>
      <c r="B10" s="31">
        <v>117</v>
      </c>
      <c r="C10" s="31">
        <v>61</v>
      </c>
      <c r="D10" s="189">
        <v>178</v>
      </c>
      <c r="E10" s="31">
        <v>106</v>
      </c>
      <c r="F10" s="31">
        <v>72</v>
      </c>
      <c r="G10" s="189">
        <v>178</v>
      </c>
      <c r="H10" s="41" t="s">
        <v>85</v>
      </c>
    </row>
    <row r="11" spans="1:9" ht="21.75" customHeight="1" thickBot="1">
      <c r="A11" s="43" t="s">
        <v>84</v>
      </c>
      <c r="B11" s="31">
        <v>90</v>
      </c>
      <c r="C11" s="31">
        <v>59</v>
      </c>
      <c r="D11" s="189">
        <v>149</v>
      </c>
      <c r="E11" s="31">
        <v>82</v>
      </c>
      <c r="F11" s="31">
        <v>67</v>
      </c>
      <c r="G11" s="189">
        <v>149</v>
      </c>
      <c r="H11" s="42" t="s">
        <v>83</v>
      </c>
    </row>
    <row r="12" spans="1:9" ht="21.75" customHeight="1" thickBot="1">
      <c r="A12" s="135" t="s">
        <v>82</v>
      </c>
      <c r="B12" s="31">
        <v>55</v>
      </c>
      <c r="C12" s="31">
        <v>41</v>
      </c>
      <c r="D12" s="189">
        <v>96</v>
      </c>
      <c r="E12" s="31">
        <v>52</v>
      </c>
      <c r="F12" s="31">
        <v>44</v>
      </c>
      <c r="G12" s="189">
        <v>96</v>
      </c>
      <c r="H12" s="41" t="s">
        <v>81</v>
      </c>
    </row>
    <row r="13" spans="1:9" ht="21.75" customHeight="1" thickBot="1">
      <c r="A13" s="43" t="s">
        <v>80</v>
      </c>
      <c r="B13" s="31">
        <v>131</v>
      </c>
      <c r="C13" s="31">
        <v>85</v>
      </c>
      <c r="D13" s="189">
        <v>216</v>
      </c>
      <c r="E13" s="31">
        <v>123</v>
      </c>
      <c r="F13" s="31">
        <v>93</v>
      </c>
      <c r="G13" s="189">
        <v>216</v>
      </c>
      <c r="H13" s="42" t="s">
        <v>79</v>
      </c>
    </row>
    <row r="14" spans="1:9" ht="21.75" customHeight="1" thickBot="1">
      <c r="A14" s="135" t="s">
        <v>78</v>
      </c>
      <c r="B14" s="31">
        <v>88</v>
      </c>
      <c r="C14" s="31">
        <v>53</v>
      </c>
      <c r="D14" s="189">
        <v>141</v>
      </c>
      <c r="E14" s="31">
        <v>74</v>
      </c>
      <c r="F14" s="31">
        <v>67</v>
      </c>
      <c r="G14" s="189">
        <v>141</v>
      </c>
      <c r="H14" s="41" t="s">
        <v>77</v>
      </c>
    </row>
    <row r="15" spans="1:9" ht="21.75" customHeight="1" thickBot="1">
      <c r="A15" s="43" t="s">
        <v>76</v>
      </c>
      <c r="B15" s="31">
        <v>157</v>
      </c>
      <c r="C15" s="31">
        <v>85</v>
      </c>
      <c r="D15" s="189">
        <v>242</v>
      </c>
      <c r="E15" s="31">
        <v>144</v>
      </c>
      <c r="F15" s="31">
        <v>98</v>
      </c>
      <c r="G15" s="189">
        <v>242</v>
      </c>
      <c r="H15" s="42" t="s">
        <v>75</v>
      </c>
    </row>
    <row r="16" spans="1:9" ht="21.75" customHeight="1" thickBot="1">
      <c r="A16" s="135" t="s">
        <v>74</v>
      </c>
      <c r="B16" s="31">
        <v>134</v>
      </c>
      <c r="C16" s="31">
        <v>79</v>
      </c>
      <c r="D16" s="189">
        <v>213</v>
      </c>
      <c r="E16" s="31">
        <v>129</v>
      </c>
      <c r="F16" s="31">
        <v>84</v>
      </c>
      <c r="G16" s="189">
        <v>213</v>
      </c>
      <c r="H16" s="41" t="s">
        <v>73</v>
      </c>
    </row>
    <row r="17" spans="1:8" ht="21.75" customHeight="1" thickBot="1">
      <c r="A17" s="43" t="s">
        <v>72</v>
      </c>
      <c r="B17" s="31">
        <v>105</v>
      </c>
      <c r="C17" s="31">
        <v>58</v>
      </c>
      <c r="D17" s="189">
        <v>163</v>
      </c>
      <c r="E17" s="31">
        <v>98</v>
      </c>
      <c r="F17" s="31">
        <v>65</v>
      </c>
      <c r="G17" s="189">
        <v>163</v>
      </c>
      <c r="H17" s="42" t="s">
        <v>71</v>
      </c>
    </row>
    <row r="18" spans="1:8" ht="21.75" customHeight="1" thickBot="1">
      <c r="A18" s="135" t="s">
        <v>70</v>
      </c>
      <c r="B18" s="31">
        <v>106</v>
      </c>
      <c r="C18" s="31">
        <v>68</v>
      </c>
      <c r="D18" s="189">
        <v>174</v>
      </c>
      <c r="E18" s="31">
        <v>95</v>
      </c>
      <c r="F18" s="31">
        <v>79</v>
      </c>
      <c r="G18" s="189">
        <v>174</v>
      </c>
      <c r="H18" s="41" t="s">
        <v>69</v>
      </c>
    </row>
    <row r="19" spans="1:8" ht="21.75" customHeight="1" thickBot="1">
      <c r="A19" s="190" t="s">
        <v>68</v>
      </c>
      <c r="B19" s="195">
        <v>108</v>
      </c>
      <c r="C19" s="195">
        <v>84</v>
      </c>
      <c r="D19" s="189">
        <v>192</v>
      </c>
      <c r="E19" s="195">
        <v>101</v>
      </c>
      <c r="F19" s="195">
        <v>91</v>
      </c>
      <c r="G19" s="189">
        <v>192</v>
      </c>
      <c r="H19" s="191" t="s">
        <v>67</v>
      </c>
    </row>
    <row r="20" spans="1:8" ht="22.5" customHeight="1">
      <c r="A20" s="827" t="s">
        <v>16</v>
      </c>
      <c r="B20" s="99">
        <f t="shared" ref="B20:G20" si="0">SUM(B8:B19)</f>
        <v>1324</v>
      </c>
      <c r="C20" s="99">
        <f t="shared" si="0"/>
        <v>817</v>
      </c>
      <c r="D20" s="100">
        <f>SUM(D8:D19)</f>
        <v>2141</v>
      </c>
      <c r="E20" s="99">
        <f t="shared" si="0"/>
        <v>1217</v>
      </c>
      <c r="F20" s="99">
        <f>SUM(F8:F19)</f>
        <v>924</v>
      </c>
      <c r="G20" s="100">
        <f t="shared" si="0"/>
        <v>2141</v>
      </c>
      <c r="H20" s="86" t="s">
        <v>55</v>
      </c>
    </row>
    <row r="26" spans="1:8">
      <c r="A26" s="1" t="s">
        <v>92</v>
      </c>
      <c r="B26" s="1" t="s">
        <v>293</v>
      </c>
      <c r="C26" s="1" t="s">
        <v>292</v>
      </c>
    </row>
    <row r="27" spans="1:8" ht="21.75">
      <c r="A27" s="12" t="s">
        <v>705</v>
      </c>
      <c r="B27" s="94">
        <f>C8</f>
        <v>72</v>
      </c>
      <c r="C27" s="94">
        <f>B8</f>
        <v>122</v>
      </c>
    </row>
    <row r="28" spans="1:8" ht="21.75">
      <c r="A28" s="12" t="s">
        <v>704</v>
      </c>
      <c r="B28" s="94">
        <f>C9</f>
        <v>72</v>
      </c>
      <c r="C28" s="1">
        <f t="shared" ref="C28:C38" si="1">B9</f>
        <v>111</v>
      </c>
    </row>
    <row r="29" spans="1:8" ht="21.75">
      <c r="A29" s="12" t="s">
        <v>706</v>
      </c>
      <c r="B29" s="1">
        <f t="shared" ref="B29:B38" si="2">C10</f>
        <v>61</v>
      </c>
      <c r="C29" s="1">
        <f t="shared" si="1"/>
        <v>117</v>
      </c>
    </row>
    <row r="30" spans="1:8" ht="21.75">
      <c r="A30" s="12" t="s">
        <v>707</v>
      </c>
      <c r="B30" s="1">
        <f t="shared" si="2"/>
        <v>59</v>
      </c>
      <c r="C30" s="1">
        <f t="shared" si="1"/>
        <v>90</v>
      </c>
    </row>
    <row r="31" spans="1:8" ht="21.75">
      <c r="A31" s="12" t="s">
        <v>708</v>
      </c>
      <c r="B31" s="1">
        <f t="shared" si="2"/>
        <v>41</v>
      </c>
      <c r="C31" s="1">
        <f t="shared" si="1"/>
        <v>55</v>
      </c>
    </row>
    <row r="32" spans="1:8" ht="21.75">
      <c r="A32" s="12" t="s">
        <v>709</v>
      </c>
      <c r="B32" s="1">
        <f t="shared" si="2"/>
        <v>85</v>
      </c>
      <c r="C32" s="1">
        <f t="shared" si="1"/>
        <v>131</v>
      </c>
    </row>
    <row r="33" spans="1:3" ht="21.75">
      <c r="A33" s="12" t="s">
        <v>710</v>
      </c>
      <c r="B33" s="1">
        <f t="shared" si="2"/>
        <v>53</v>
      </c>
      <c r="C33" s="1">
        <f t="shared" si="1"/>
        <v>88</v>
      </c>
    </row>
    <row r="34" spans="1:3" ht="21.75">
      <c r="A34" s="12" t="s">
        <v>711</v>
      </c>
      <c r="B34" s="1">
        <f t="shared" si="2"/>
        <v>85</v>
      </c>
      <c r="C34" s="1">
        <f t="shared" si="1"/>
        <v>157</v>
      </c>
    </row>
    <row r="35" spans="1:3" ht="21.75">
      <c r="A35" s="12" t="s">
        <v>712</v>
      </c>
      <c r="B35" s="1">
        <f t="shared" si="2"/>
        <v>79</v>
      </c>
      <c r="C35" s="1">
        <f t="shared" si="1"/>
        <v>134</v>
      </c>
    </row>
    <row r="36" spans="1:3" ht="25.5">
      <c r="A36" s="12" t="s">
        <v>713</v>
      </c>
      <c r="B36" s="1">
        <f t="shared" si="2"/>
        <v>58</v>
      </c>
      <c r="C36" s="1">
        <f t="shared" si="1"/>
        <v>105</v>
      </c>
    </row>
    <row r="37" spans="1:3" ht="21.75">
      <c r="A37" s="12" t="s">
        <v>714</v>
      </c>
      <c r="B37" s="1">
        <f t="shared" si="2"/>
        <v>68</v>
      </c>
      <c r="C37" s="1">
        <f t="shared" si="1"/>
        <v>106</v>
      </c>
    </row>
    <row r="38" spans="1:3" ht="21.75">
      <c r="A38" s="12" t="s">
        <v>715</v>
      </c>
      <c r="B38" s="1">
        <f t="shared" si="2"/>
        <v>84</v>
      </c>
      <c r="C38" s="1">
        <f t="shared" si="1"/>
        <v>108</v>
      </c>
    </row>
    <row r="40" spans="1:3">
      <c r="B40" s="94">
        <f>SUM(B27:B39)</f>
        <v>817</v>
      </c>
      <c r="C40" s="94">
        <f>SUM(C27:C39)</f>
        <v>1324</v>
      </c>
    </row>
  </sheetData>
  <mergeCells count="7">
    <mergeCell ref="H6:H7"/>
    <mergeCell ref="A1:H1"/>
    <mergeCell ref="A2:H2"/>
    <mergeCell ref="A3:H3"/>
    <mergeCell ref="A6:A7"/>
    <mergeCell ref="B6:D6"/>
    <mergeCell ref="E6:G6"/>
  </mergeCells>
  <printOptions horizontalCentered="1" verticalCentered="1"/>
  <pageMargins left="0" right="0" top="0" bottom="0" header="0" footer="0"/>
  <pageSetup paperSize="9" orientation="landscape" r:id="rId1"/>
  <headerFooter alignWithMargins="0"/>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37"/>
  <sheetViews>
    <sheetView rightToLeft="1" view="pageBreakPreview" topLeftCell="A7" zoomScaleNormal="100" zoomScaleSheetLayoutView="100" workbookViewId="0">
      <selection activeCell="C1" sqref="C1"/>
    </sheetView>
  </sheetViews>
  <sheetFormatPr defaultColWidth="9.140625" defaultRowHeight="12.75"/>
  <cols>
    <col min="1" max="16384" width="9.140625" style="1"/>
  </cols>
  <sheetData>
    <row r="1" ht="52.5" customHeight="1"/>
    <row r="37" spans="1:14" ht="15.75">
      <c r="A37" s="1070" t="s">
        <v>297</v>
      </c>
      <c r="B37" s="1070"/>
      <c r="C37" s="1070"/>
      <c r="D37" s="1070"/>
      <c r="E37" s="1070"/>
      <c r="F37" s="1070"/>
      <c r="G37" s="1070"/>
      <c r="H37" s="1070"/>
      <c r="I37" s="1070"/>
      <c r="J37" s="1070"/>
      <c r="K37" s="1070"/>
      <c r="L37" s="1070"/>
      <c r="M37" s="1070"/>
      <c r="N37" s="1070"/>
    </row>
  </sheetData>
  <mergeCells count="1">
    <mergeCell ref="A37:N37"/>
  </mergeCells>
  <printOptions horizontalCentered="1" verticalCentered="1"/>
  <pageMargins left="0" right="0" top="0" bottom="0" header="0" footer="0"/>
  <pageSetup paperSize="9"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I37"/>
  <sheetViews>
    <sheetView rightToLeft="1" view="pageBreakPreview" topLeftCell="A4" zoomScaleNormal="100" zoomScaleSheetLayoutView="100" workbookViewId="0">
      <selection activeCell="B14" sqref="B14"/>
    </sheetView>
  </sheetViews>
  <sheetFormatPr defaultColWidth="9.140625" defaultRowHeight="12.75"/>
  <cols>
    <col min="1" max="1" width="24.5703125" style="1" customWidth="1"/>
    <col min="2" max="5" width="14.140625" style="1" customWidth="1"/>
    <col min="6" max="6" width="10.85546875" style="1" customWidth="1"/>
    <col min="7" max="7" width="10.7109375" style="1" customWidth="1"/>
    <col min="8" max="8" width="13.5703125" style="1" customWidth="1"/>
    <col min="9" max="9" width="27.42578125" style="1" customWidth="1"/>
    <col min="10" max="16384" width="9.140625" style="1"/>
  </cols>
  <sheetData>
    <row r="1" spans="1:9" ht="24" customHeight="1">
      <c r="A1" s="1129" t="s">
        <v>302</v>
      </c>
      <c r="B1" s="1129"/>
      <c r="C1" s="1129"/>
      <c r="D1" s="1129"/>
      <c r="E1" s="1129"/>
      <c r="F1" s="1129"/>
      <c r="G1" s="1129"/>
      <c r="H1" s="1129"/>
      <c r="I1" s="1129"/>
    </row>
    <row r="2" spans="1:9" ht="15.75" customHeight="1">
      <c r="A2" s="1100" t="s">
        <v>301</v>
      </c>
      <c r="B2" s="1100"/>
      <c r="C2" s="1100"/>
      <c r="D2" s="1100"/>
      <c r="E2" s="1100"/>
      <c r="F2" s="1100"/>
      <c r="G2" s="1100"/>
      <c r="H2" s="1100"/>
      <c r="I2" s="1100"/>
    </row>
    <row r="3" spans="1:9" ht="15.75" customHeight="1">
      <c r="A3" s="1100">
        <v>2021</v>
      </c>
      <c r="B3" s="1100"/>
      <c r="C3" s="1100"/>
      <c r="D3" s="1100"/>
      <c r="E3" s="1100"/>
      <c r="F3" s="1100"/>
      <c r="G3" s="1100"/>
      <c r="H3" s="1100"/>
      <c r="I3" s="1100"/>
    </row>
    <row r="4" spans="1:9" ht="15.75" customHeight="1">
      <c r="A4" s="373"/>
      <c r="B4" s="373"/>
      <c r="C4" s="373"/>
      <c r="D4" s="373"/>
      <c r="E4" s="373"/>
      <c r="F4" s="400"/>
      <c r="G4" s="373"/>
      <c r="H4" s="373"/>
      <c r="I4" s="373"/>
    </row>
    <row r="5" spans="1:9" ht="16.5">
      <c r="A5" s="363" t="s">
        <v>400</v>
      </c>
      <c r="B5" s="364"/>
      <c r="C5" s="368"/>
      <c r="D5" s="368"/>
      <c r="E5" s="368"/>
      <c r="F5" s="368"/>
      <c r="G5" s="369"/>
      <c r="H5" s="372"/>
      <c r="I5" s="370" t="s">
        <v>401</v>
      </c>
    </row>
    <row r="6" spans="1:9" ht="30" customHeight="1" thickBot="1">
      <c r="A6" s="1176" t="s">
        <v>110</v>
      </c>
      <c r="B6" s="1174" t="s">
        <v>300</v>
      </c>
      <c r="C6" s="1174"/>
      <c r="D6" s="1174"/>
      <c r="E6" s="1174"/>
      <c r="F6" s="1174"/>
      <c r="G6" s="1174"/>
      <c r="H6" s="1125" t="s">
        <v>593</v>
      </c>
      <c r="I6" s="1127" t="s">
        <v>108</v>
      </c>
    </row>
    <row r="7" spans="1:9" ht="67.5" customHeight="1">
      <c r="A7" s="1179"/>
      <c r="B7" s="535" t="s">
        <v>629</v>
      </c>
      <c r="C7" s="535" t="s">
        <v>630</v>
      </c>
      <c r="D7" s="535" t="s">
        <v>631</v>
      </c>
      <c r="E7" s="535" t="s">
        <v>632</v>
      </c>
      <c r="F7" s="535" t="s">
        <v>601</v>
      </c>
      <c r="G7" s="532" t="s">
        <v>107</v>
      </c>
      <c r="H7" s="1180"/>
      <c r="I7" s="1178"/>
    </row>
    <row r="8" spans="1:9" ht="25.5" customHeight="1" thickBot="1">
      <c r="A8" s="68" t="s">
        <v>106</v>
      </c>
      <c r="B8" s="196">
        <v>666</v>
      </c>
      <c r="C8" s="192">
        <v>556</v>
      </c>
      <c r="D8" s="192">
        <v>69</v>
      </c>
      <c r="E8" s="192">
        <v>33</v>
      </c>
      <c r="F8" s="401">
        <v>0</v>
      </c>
      <c r="G8" s="101">
        <v>1324</v>
      </c>
      <c r="H8" s="51">
        <f>G8/$G$14%</f>
        <v>61.840261560018682</v>
      </c>
      <c r="I8" s="44" t="s">
        <v>690</v>
      </c>
    </row>
    <row r="9" spans="1:9" ht="25.5" customHeight="1" thickBot="1">
      <c r="A9" s="67" t="s">
        <v>105</v>
      </c>
      <c r="B9" s="196">
        <v>38</v>
      </c>
      <c r="C9" s="192">
        <v>21</v>
      </c>
      <c r="D9" s="192">
        <v>4</v>
      </c>
      <c r="E9" s="192">
        <v>2</v>
      </c>
      <c r="F9" s="401">
        <v>0</v>
      </c>
      <c r="G9" s="101">
        <v>65</v>
      </c>
      <c r="H9" s="50">
        <f>G9/$G$14%</f>
        <v>3.0359645025688931</v>
      </c>
      <c r="I9" s="42" t="s">
        <v>422</v>
      </c>
    </row>
    <row r="10" spans="1:9" ht="25.5" customHeight="1" thickBot="1">
      <c r="A10" s="66" t="s">
        <v>104</v>
      </c>
      <c r="B10" s="196">
        <v>281</v>
      </c>
      <c r="C10" s="192">
        <v>213</v>
      </c>
      <c r="D10" s="192">
        <v>68</v>
      </c>
      <c r="E10" s="192">
        <v>16</v>
      </c>
      <c r="F10" s="401">
        <v>0</v>
      </c>
      <c r="G10" s="101">
        <v>578</v>
      </c>
      <c r="H10" s="49">
        <f t="shared" ref="H10:H13" si="0">G10/$G$14%</f>
        <v>26.996730499766464</v>
      </c>
      <c r="I10" s="41" t="s">
        <v>423</v>
      </c>
    </row>
    <row r="11" spans="1:9" ht="25.5" customHeight="1" thickBot="1">
      <c r="A11" s="67" t="s">
        <v>717</v>
      </c>
      <c r="B11" s="196">
        <v>54</v>
      </c>
      <c r="C11" s="192">
        <v>42</v>
      </c>
      <c r="D11" s="192">
        <v>11</v>
      </c>
      <c r="E11" s="192">
        <v>2</v>
      </c>
      <c r="F11" s="401">
        <v>0</v>
      </c>
      <c r="G11" s="101">
        <v>109</v>
      </c>
      <c r="H11" s="50">
        <f t="shared" si="0"/>
        <v>5.0910789350770669</v>
      </c>
      <c r="I11" s="42" t="s">
        <v>424</v>
      </c>
    </row>
    <row r="12" spans="1:9" ht="25.5" customHeight="1" thickBot="1">
      <c r="A12" s="66" t="s">
        <v>103</v>
      </c>
      <c r="B12" s="196">
        <v>14</v>
      </c>
      <c r="C12" s="192">
        <v>15</v>
      </c>
      <c r="D12" s="192">
        <v>1</v>
      </c>
      <c r="E12" s="192">
        <v>0</v>
      </c>
      <c r="F12" s="401">
        <v>0</v>
      </c>
      <c r="G12" s="101">
        <v>30</v>
      </c>
      <c r="H12" s="49">
        <f t="shared" si="0"/>
        <v>1.4012143858010275</v>
      </c>
      <c r="I12" s="41" t="s">
        <v>1012</v>
      </c>
    </row>
    <row r="13" spans="1:9" ht="25.5" customHeight="1" thickBot="1">
      <c r="A13" s="65" t="s">
        <v>718</v>
      </c>
      <c r="B13" s="197">
        <v>21</v>
      </c>
      <c r="C13" s="193">
        <v>12</v>
      </c>
      <c r="D13" s="193">
        <v>1</v>
      </c>
      <c r="E13" s="193">
        <v>1</v>
      </c>
      <c r="F13" s="402">
        <v>0</v>
      </c>
      <c r="G13" s="101">
        <v>35</v>
      </c>
      <c r="H13" s="48">
        <f t="shared" si="0"/>
        <v>1.6347501167678655</v>
      </c>
      <c r="I13" s="39" t="s">
        <v>425</v>
      </c>
    </row>
    <row r="14" spans="1:9" ht="25.5" customHeight="1" thickBot="1">
      <c r="A14" s="905" t="s">
        <v>16</v>
      </c>
      <c r="B14" s="906">
        <f>SUM(B8:B13)</f>
        <v>1074</v>
      </c>
      <c r="C14" s="906">
        <f t="shared" ref="C14:H14" si="1">SUM(C8:C13)</f>
        <v>859</v>
      </c>
      <c r="D14" s="906">
        <f t="shared" si="1"/>
        <v>154</v>
      </c>
      <c r="E14" s="906">
        <f t="shared" si="1"/>
        <v>54</v>
      </c>
      <c r="F14" s="906">
        <v>0</v>
      </c>
      <c r="G14" s="906">
        <f t="shared" si="1"/>
        <v>2141</v>
      </c>
      <c r="H14" s="907">
        <f t="shared" si="1"/>
        <v>99.999999999999986</v>
      </c>
      <c r="I14" s="908" t="s">
        <v>55</v>
      </c>
    </row>
    <row r="15" spans="1:9" ht="25.5" customHeight="1">
      <c r="A15" s="909" t="s">
        <v>299</v>
      </c>
      <c r="B15" s="910">
        <f>B14/$G$14%</f>
        <v>50.163475011676788</v>
      </c>
      <c r="C15" s="910">
        <f>C14/$G$14%</f>
        <v>40.121438580102755</v>
      </c>
      <c r="D15" s="910">
        <f>D14/$G$14%</f>
        <v>7.192900513778608</v>
      </c>
      <c r="E15" s="910">
        <f>E14/$G$14%</f>
        <v>2.5221858944418494</v>
      </c>
      <c r="F15" s="910">
        <f>F14/$G$14%</f>
        <v>0</v>
      </c>
      <c r="G15" s="910">
        <f>SUM(B15:F15)</f>
        <v>100</v>
      </c>
      <c r="H15" s="1122" t="s">
        <v>298</v>
      </c>
      <c r="I15" s="1123"/>
    </row>
    <row r="23" spans="1:5" ht="13.5" thickBot="1"/>
    <row r="24" spans="1:5" ht="75.75" thickBot="1">
      <c r="A24" s="64" t="s">
        <v>534</v>
      </c>
      <c r="B24" s="64" t="s">
        <v>535</v>
      </c>
      <c r="C24" s="64" t="s">
        <v>536</v>
      </c>
      <c r="D24" s="64" t="s">
        <v>537</v>
      </c>
      <c r="E24" s="399" t="s">
        <v>145</v>
      </c>
    </row>
    <row r="25" spans="1:5">
      <c r="A25" s="94">
        <f>B8</f>
        <v>666</v>
      </c>
      <c r="B25" s="94">
        <f>C8</f>
        <v>556</v>
      </c>
      <c r="C25" s="94">
        <f>D8</f>
        <v>69</v>
      </c>
      <c r="D25" s="94">
        <f>E8</f>
        <v>33</v>
      </c>
      <c r="E25" s="94">
        <f>F8</f>
        <v>0</v>
      </c>
    </row>
    <row r="26" spans="1:5">
      <c r="A26" s="11">
        <f>A25/$G$8%</f>
        <v>50.302114803625379</v>
      </c>
      <c r="B26" s="11">
        <f>B25/$G$8%</f>
        <v>41.993957703927492</v>
      </c>
      <c r="C26" s="11">
        <f>C25/$G$8%</f>
        <v>5.2114803625377641</v>
      </c>
      <c r="D26" s="11">
        <f>D25/$G$8%</f>
        <v>2.4924471299093653</v>
      </c>
      <c r="E26" s="11">
        <f>E25/$G$8%</f>
        <v>0</v>
      </c>
    </row>
    <row r="30" spans="1:5" ht="25.5">
      <c r="A30" s="46" t="s">
        <v>100</v>
      </c>
      <c r="B30" s="94">
        <f>G8</f>
        <v>1324</v>
      </c>
    </row>
    <row r="31" spans="1:5" ht="25.5">
      <c r="A31" s="46" t="s">
        <v>99</v>
      </c>
      <c r="B31" s="1">
        <f t="shared" ref="B31:B35" si="2">G9</f>
        <v>65</v>
      </c>
    </row>
    <row r="32" spans="1:5" ht="25.5">
      <c r="A32" s="46" t="s">
        <v>98</v>
      </c>
      <c r="B32" s="1">
        <f t="shared" si="2"/>
        <v>578</v>
      </c>
    </row>
    <row r="33" spans="1:2" ht="25.5">
      <c r="A33" s="46" t="s">
        <v>97</v>
      </c>
      <c r="B33" s="1">
        <f t="shared" si="2"/>
        <v>109</v>
      </c>
    </row>
    <row r="34" spans="1:2" ht="25.5">
      <c r="A34" s="46" t="s">
        <v>96</v>
      </c>
      <c r="B34" s="1">
        <f t="shared" si="2"/>
        <v>30</v>
      </c>
    </row>
    <row r="35" spans="1:2" ht="26.25" thickBot="1">
      <c r="A35" s="45" t="s">
        <v>95</v>
      </c>
      <c r="B35" s="1">
        <f t="shared" si="2"/>
        <v>35</v>
      </c>
    </row>
    <row r="36" spans="1:2" ht="13.5" thickTop="1"/>
    <row r="37" spans="1:2">
      <c r="B37" s="1">
        <f>SUM(B30:B36)</f>
        <v>2141</v>
      </c>
    </row>
  </sheetData>
  <mergeCells count="8">
    <mergeCell ref="A1:I1"/>
    <mergeCell ref="A2:I2"/>
    <mergeCell ref="A3:I3"/>
    <mergeCell ref="H15:I15"/>
    <mergeCell ref="B6:G6"/>
    <mergeCell ref="I6:I7"/>
    <mergeCell ref="A6:A7"/>
    <mergeCell ref="H6:H7"/>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34:N34"/>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4" spans="1:14" ht="15.75">
      <c r="A34" s="1070" t="s">
        <v>303</v>
      </c>
      <c r="B34" s="1070"/>
      <c r="C34" s="1070"/>
      <c r="D34" s="1070"/>
      <c r="E34" s="1070"/>
      <c r="F34" s="1070"/>
      <c r="G34" s="1070"/>
      <c r="H34" s="1070"/>
      <c r="I34" s="1070"/>
      <c r="J34" s="1070"/>
      <c r="K34" s="1070"/>
      <c r="L34" s="1070"/>
      <c r="M34" s="1070"/>
      <c r="N34" s="317"/>
    </row>
  </sheetData>
  <mergeCells count="1">
    <mergeCell ref="A34:M34"/>
  </mergeCells>
  <printOptions horizontalCentered="1" verticalCentered="1"/>
  <pageMargins left="0" right="0" top="0" bottom="0" header="0" footer="0"/>
  <pageSetup paperSize="9"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33:N33"/>
  <sheetViews>
    <sheetView rightToLeft="1" view="pageBreakPreview" zoomScaleNormal="100" zoomScaleSheetLayoutView="100" workbookViewId="0">
      <selection activeCell="O18" sqref="O18"/>
    </sheetView>
  </sheetViews>
  <sheetFormatPr defaultColWidth="9.140625" defaultRowHeight="12.75"/>
  <cols>
    <col min="1" max="16384" width="9.140625" style="1"/>
  </cols>
  <sheetData>
    <row r="33" spans="1:14" ht="15.75">
      <c r="A33" s="1070" t="s">
        <v>304</v>
      </c>
      <c r="B33" s="1070"/>
      <c r="C33" s="1070"/>
      <c r="D33" s="1070"/>
      <c r="E33" s="1070"/>
      <c r="F33" s="1070"/>
      <c r="G33" s="1070"/>
      <c r="H33" s="1070"/>
      <c r="I33" s="1070"/>
      <c r="J33" s="1070"/>
      <c r="K33" s="1070"/>
      <c r="L33" s="1070"/>
      <c r="M33" s="1070"/>
      <c r="N33" s="317"/>
    </row>
  </sheetData>
  <mergeCells count="1">
    <mergeCell ref="A33:M33"/>
  </mergeCells>
  <printOptions horizontalCentered="1" verticalCentered="1"/>
  <pageMargins left="0" right="0" top="0" bottom="0"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I23"/>
  <sheetViews>
    <sheetView rightToLeft="1" view="pageBreakPreview" topLeftCell="A4" zoomScaleNormal="100" zoomScaleSheetLayoutView="100" workbookViewId="0">
      <selection activeCell="G25" sqref="G25"/>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1.28515625" style="1" customWidth="1"/>
    <col min="10" max="16384" width="9.140625" style="1"/>
  </cols>
  <sheetData>
    <row r="1" spans="1:9" ht="24" customHeight="1">
      <c r="A1" s="1129" t="s">
        <v>307</v>
      </c>
      <c r="B1" s="1129"/>
      <c r="C1" s="1129"/>
      <c r="D1" s="1129"/>
      <c r="E1" s="1129"/>
      <c r="F1" s="1129"/>
      <c r="G1" s="1129"/>
      <c r="H1" s="1129"/>
      <c r="I1" s="1129"/>
    </row>
    <row r="2" spans="1:9" ht="15.75" customHeight="1">
      <c r="A2" s="1100" t="s">
        <v>306</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52</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320</v>
      </c>
      <c r="B6" s="364"/>
      <c r="C6" s="365"/>
      <c r="D6" s="365"/>
      <c r="E6" s="365"/>
      <c r="F6" s="365"/>
      <c r="G6" s="370"/>
      <c r="H6" s="370"/>
      <c r="I6" s="370" t="s">
        <v>319</v>
      </c>
    </row>
    <row r="7" spans="1:9" ht="27.75" customHeight="1" thickBot="1">
      <c r="A7" s="1176" t="s">
        <v>305</v>
      </c>
      <c r="B7" s="1174" t="s">
        <v>300</v>
      </c>
      <c r="C7" s="1174"/>
      <c r="D7" s="1174"/>
      <c r="E7" s="1174"/>
      <c r="F7" s="1174"/>
      <c r="G7" s="1174"/>
      <c r="H7" s="1125" t="s">
        <v>622</v>
      </c>
      <c r="I7" s="1127" t="s">
        <v>1069</v>
      </c>
    </row>
    <row r="8" spans="1:9" ht="58.5" customHeight="1">
      <c r="A8" s="1179"/>
      <c r="B8" s="535" t="s">
        <v>629</v>
      </c>
      <c r="C8" s="535" t="s">
        <v>630</v>
      </c>
      <c r="D8" s="535" t="s">
        <v>631</v>
      </c>
      <c r="E8" s="535" t="s">
        <v>632</v>
      </c>
      <c r="F8" s="535" t="s">
        <v>601</v>
      </c>
      <c r="G8" s="532" t="s">
        <v>107</v>
      </c>
      <c r="H8" s="1180"/>
      <c r="I8" s="1178"/>
    </row>
    <row r="9" spans="1:9" ht="16.5" thickBot="1">
      <c r="A9" s="21">
        <v>-20</v>
      </c>
      <c r="B9" s="198">
        <v>0</v>
      </c>
      <c r="C9" s="33">
        <v>0</v>
      </c>
      <c r="D9" s="33">
        <v>0</v>
      </c>
      <c r="E9" s="33">
        <v>0</v>
      </c>
      <c r="F9" s="199">
        <v>0</v>
      </c>
      <c r="G9" s="102">
        <v>0</v>
      </c>
      <c r="H9" s="51">
        <f t="shared" ref="H9:H22" si="0">G9/$G$23%</f>
        <v>0</v>
      </c>
      <c r="I9" s="828">
        <v>-20</v>
      </c>
    </row>
    <row r="10" spans="1:9" ht="16.5" thickBot="1">
      <c r="A10" s="18" t="s">
        <v>1053</v>
      </c>
      <c r="B10" s="198">
        <v>59</v>
      </c>
      <c r="C10" s="33">
        <v>36</v>
      </c>
      <c r="D10" s="33">
        <v>4</v>
      </c>
      <c r="E10" s="33">
        <v>1</v>
      </c>
      <c r="F10" s="199">
        <v>0</v>
      </c>
      <c r="G10" s="102">
        <v>100</v>
      </c>
      <c r="H10" s="50">
        <f t="shared" si="0"/>
        <v>7.5528700906344408</v>
      </c>
      <c r="I10" s="829" t="s">
        <v>127</v>
      </c>
    </row>
    <row r="11" spans="1:9" ht="16.5" thickBot="1">
      <c r="A11" s="15" t="s">
        <v>1054</v>
      </c>
      <c r="B11" s="198">
        <v>155</v>
      </c>
      <c r="C11" s="33">
        <v>132</v>
      </c>
      <c r="D11" s="33">
        <v>25</v>
      </c>
      <c r="E11" s="33">
        <v>2</v>
      </c>
      <c r="F11" s="199">
        <v>0</v>
      </c>
      <c r="G11" s="102">
        <v>314</v>
      </c>
      <c r="H11" s="49">
        <f t="shared" si="0"/>
        <v>23.716012084592144</v>
      </c>
      <c r="I11" s="830" t="s">
        <v>126</v>
      </c>
    </row>
    <row r="12" spans="1:9" ht="16.5" thickBot="1">
      <c r="A12" s="18" t="s">
        <v>1055</v>
      </c>
      <c r="B12" s="198">
        <v>131</v>
      </c>
      <c r="C12" s="33">
        <v>124</v>
      </c>
      <c r="D12" s="33">
        <v>13</v>
      </c>
      <c r="E12" s="33">
        <v>3</v>
      </c>
      <c r="F12" s="199">
        <v>0</v>
      </c>
      <c r="G12" s="102">
        <v>271</v>
      </c>
      <c r="H12" s="50">
        <f t="shared" si="0"/>
        <v>20.468277945619334</v>
      </c>
      <c r="I12" s="829" t="s">
        <v>125</v>
      </c>
    </row>
    <row r="13" spans="1:9" ht="16.5" thickBot="1">
      <c r="A13" s="15" t="s">
        <v>1056</v>
      </c>
      <c r="B13" s="198">
        <v>99</v>
      </c>
      <c r="C13" s="33">
        <v>74</v>
      </c>
      <c r="D13" s="33">
        <v>9</v>
      </c>
      <c r="E13" s="33">
        <v>5</v>
      </c>
      <c r="F13" s="199">
        <v>0</v>
      </c>
      <c r="G13" s="102">
        <v>187</v>
      </c>
      <c r="H13" s="49">
        <f t="shared" si="0"/>
        <v>14.123867069486405</v>
      </c>
      <c r="I13" s="830" t="s">
        <v>124</v>
      </c>
    </row>
    <row r="14" spans="1:9" ht="16.5" thickBot="1">
      <c r="A14" s="18" t="s">
        <v>1057</v>
      </c>
      <c r="B14" s="198">
        <v>62</v>
      </c>
      <c r="C14" s="33">
        <v>60</v>
      </c>
      <c r="D14" s="33">
        <v>7</v>
      </c>
      <c r="E14" s="33">
        <v>8</v>
      </c>
      <c r="F14" s="199">
        <v>0</v>
      </c>
      <c r="G14" s="102">
        <v>137</v>
      </c>
      <c r="H14" s="50">
        <f t="shared" si="0"/>
        <v>10.347432024169184</v>
      </c>
      <c r="I14" s="829" t="s">
        <v>123</v>
      </c>
    </row>
    <row r="15" spans="1:9" ht="16.5" thickBot="1">
      <c r="A15" s="15" t="s">
        <v>1058</v>
      </c>
      <c r="B15" s="198">
        <v>49</v>
      </c>
      <c r="C15" s="33">
        <v>36</v>
      </c>
      <c r="D15" s="33">
        <v>6</v>
      </c>
      <c r="E15" s="33">
        <v>4</v>
      </c>
      <c r="F15" s="199">
        <v>0</v>
      </c>
      <c r="G15" s="102">
        <v>95</v>
      </c>
      <c r="H15" s="49">
        <f t="shared" si="0"/>
        <v>7.1752265861027187</v>
      </c>
      <c r="I15" s="830" t="s">
        <v>122</v>
      </c>
    </row>
    <row r="16" spans="1:9" ht="16.5" thickBot="1">
      <c r="A16" s="18" t="s">
        <v>1059</v>
      </c>
      <c r="B16" s="198">
        <v>40</v>
      </c>
      <c r="C16" s="33">
        <v>32</v>
      </c>
      <c r="D16" s="33">
        <v>4</v>
      </c>
      <c r="E16" s="33">
        <v>6</v>
      </c>
      <c r="F16" s="199">
        <v>0</v>
      </c>
      <c r="G16" s="102">
        <v>82</v>
      </c>
      <c r="H16" s="50">
        <f t="shared" si="0"/>
        <v>6.1933534743202419</v>
      </c>
      <c r="I16" s="829" t="s">
        <v>121</v>
      </c>
    </row>
    <row r="17" spans="1:9" ht="16.5" thickBot="1">
      <c r="A17" s="15" t="s">
        <v>1060</v>
      </c>
      <c r="B17" s="198">
        <v>38</v>
      </c>
      <c r="C17" s="33">
        <v>23</v>
      </c>
      <c r="D17" s="33">
        <v>1</v>
      </c>
      <c r="E17" s="33">
        <v>3</v>
      </c>
      <c r="F17" s="199">
        <v>0</v>
      </c>
      <c r="G17" s="102">
        <v>65</v>
      </c>
      <c r="H17" s="49">
        <f t="shared" si="0"/>
        <v>4.9093655589123868</v>
      </c>
      <c r="I17" s="830" t="s">
        <v>120</v>
      </c>
    </row>
    <row r="18" spans="1:9" ht="16.5" thickBot="1">
      <c r="A18" s="18" t="s">
        <v>1061</v>
      </c>
      <c r="B18" s="198">
        <v>16</v>
      </c>
      <c r="C18" s="33">
        <v>14</v>
      </c>
      <c r="D18" s="33">
        <v>0</v>
      </c>
      <c r="E18" s="33">
        <v>0</v>
      </c>
      <c r="F18" s="199">
        <v>0</v>
      </c>
      <c r="G18" s="102">
        <v>30</v>
      </c>
      <c r="H18" s="50">
        <f t="shared" si="0"/>
        <v>2.2658610271903323</v>
      </c>
      <c r="I18" s="829" t="s">
        <v>119</v>
      </c>
    </row>
    <row r="19" spans="1:9" ht="16.5" thickBot="1">
      <c r="A19" s="15" t="s">
        <v>1062</v>
      </c>
      <c r="B19" s="198">
        <v>11</v>
      </c>
      <c r="C19" s="33">
        <v>9</v>
      </c>
      <c r="D19" s="33">
        <v>0</v>
      </c>
      <c r="E19" s="33">
        <v>1</v>
      </c>
      <c r="F19" s="199">
        <v>0</v>
      </c>
      <c r="G19" s="102">
        <v>21</v>
      </c>
      <c r="H19" s="49">
        <f t="shared" si="0"/>
        <v>1.5861027190332326</v>
      </c>
      <c r="I19" s="830" t="s">
        <v>118</v>
      </c>
    </row>
    <row r="20" spans="1:9" ht="16.5" thickBot="1">
      <c r="A20" s="18" t="s">
        <v>1063</v>
      </c>
      <c r="B20" s="198">
        <v>2</v>
      </c>
      <c r="C20" s="33">
        <v>8</v>
      </c>
      <c r="D20" s="33">
        <v>0</v>
      </c>
      <c r="E20" s="33">
        <v>0</v>
      </c>
      <c r="F20" s="199">
        <v>0</v>
      </c>
      <c r="G20" s="102">
        <v>10</v>
      </c>
      <c r="H20" s="50">
        <f t="shared" si="0"/>
        <v>0.75528700906344415</v>
      </c>
      <c r="I20" s="829" t="s">
        <v>117</v>
      </c>
    </row>
    <row r="21" spans="1:9" ht="16.5" thickBot="1">
      <c r="A21" s="15" t="s">
        <v>116</v>
      </c>
      <c r="B21" s="198">
        <v>4</v>
      </c>
      <c r="C21" s="33">
        <v>8</v>
      </c>
      <c r="D21" s="33">
        <v>0</v>
      </c>
      <c r="E21" s="33">
        <v>0</v>
      </c>
      <c r="F21" s="199">
        <v>0</v>
      </c>
      <c r="G21" s="102">
        <v>12</v>
      </c>
      <c r="H21" s="49">
        <f t="shared" si="0"/>
        <v>0.90634441087613293</v>
      </c>
      <c r="I21" s="830" t="s">
        <v>1064</v>
      </c>
    </row>
    <row r="22" spans="1:9" ht="16.5" thickBot="1">
      <c r="A22" s="70" t="s">
        <v>14</v>
      </c>
      <c r="B22" s="200">
        <v>0</v>
      </c>
      <c r="C22" s="201">
        <v>0</v>
      </c>
      <c r="D22" s="201">
        <v>0</v>
      </c>
      <c r="E22" s="201">
        <v>0</v>
      </c>
      <c r="F22" s="202">
        <v>0</v>
      </c>
      <c r="G22" s="102">
        <v>0</v>
      </c>
      <c r="H22" s="48">
        <f t="shared" si="0"/>
        <v>0</v>
      </c>
      <c r="I22" s="831" t="s">
        <v>15</v>
      </c>
    </row>
    <row r="23" spans="1:9" ht="20.100000000000001" customHeight="1">
      <c r="A23" s="47" t="s">
        <v>16</v>
      </c>
      <c r="B23" s="96">
        <f>SUM(B9:B22)</f>
        <v>666</v>
      </c>
      <c r="C23" s="96">
        <f t="shared" ref="C23:H23" si="1">SUM(C9:C22)</f>
        <v>556</v>
      </c>
      <c r="D23" s="96">
        <f t="shared" si="1"/>
        <v>69</v>
      </c>
      <c r="E23" s="96">
        <f t="shared" si="1"/>
        <v>33</v>
      </c>
      <c r="F23" s="96">
        <f t="shared" si="1"/>
        <v>0</v>
      </c>
      <c r="G23" s="96">
        <f t="shared" si="1"/>
        <v>1324</v>
      </c>
      <c r="H23" s="69">
        <f t="shared" si="1"/>
        <v>99.999999999999986</v>
      </c>
      <c r="I23" s="38" t="s">
        <v>55</v>
      </c>
    </row>
  </sheetData>
  <mergeCells count="8">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I23"/>
  <sheetViews>
    <sheetView rightToLeft="1" view="pageBreakPreview" topLeftCell="A7" zoomScaleNormal="100" zoomScaleSheetLayoutView="100" workbookViewId="0">
      <selection activeCell="H29" sqref="H29"/>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1.28515625" style="1" customWidth="1"/>
    <col min="10" max="16384" width="9.140625" style="1"/>
  </cols>
  <sheetData>
    <row r="1" spans="1:9" ht="24" customHeight="1">
      <c r="A1" s="1129" t="s">
        <v>307</v>
      </c>
      <c r="B1" s="1129"/>
      <c r="C1" s="1129"/>
      <c r="D1" s="1129"/>
      <c r="E1" s="1129"/>
      <c r="F1" s="1129"/>
      <c r="G1" s="1129"/>
      <c r="H1" s="1129"/>
      <c r="I1" s="1129"/>
    </row>
    <row r="2" spans="1:9" ht="15.75" customHeight="1">
      <c r="A2" s="1100" t="s">
        <v>306</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51</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324</v>
      </c>
      <c r="B6" s="364"/>
      <c r="C6" s="365"/>
      <c r="D6" s="365"/>
      <c r="E6" s="365"/>
      <c r="F6" s="365"/>
      <c r="G6" s="370"/>
      <c r="H6" s="370"/>
      <c r="I6" s="370" t="s">
        <v>323</v>
      </c>
    </row>
    <row r="7" spans="1:9" ht="27.75" customHeight="1" thickBot="1">
      <c r="A7" s="1176" t="s">
        <v>305</v>
      </c>
      <c r="B7" s="1174" t="s">
        <v>300</v>
      </c>
      <c r="C7" s="1174"/>
      <c r="D7" s="1174"/>
      <c r="E7" s="1174"/>
      <c r="F7" s="1174"/>
      <c r="G7" s="1174"/>
      <c r="H7" s="1125" t="s">
        <v>622</v>
      </c>
      <c r="I7" s="1127" t="s">
        <v>1069</v>
      </c>
    </row>
    <row r="8" spans="1:9" ht="58.5" customHeight="1">
      <c r="A8" s="1177"/>
      <c r="B8" s="535" t="s">
        <v>629</v>
      </c>
      <c r="C8" s="535" t="s">
        <v>630</v>
      </c>
      <c r="D8" s="535" t="s">
        <v>631</v>
      </c>
      <c r="E8" s="535" t="s">
        <v>632</v>
      </c>
      <c r="F8" s="535" t="s">
        <v>601</v>
      </c>
      <c r="G8" s="532" t="s">
        <v>107</v>
      </c>
      <c r="H8" s="1126"/>
      <c r="I8" s="1128"/>
    </row>
    <row r="9" spans="1:9" ht="16.5" thickBot="1">
      <c r="A9" s="741">
        <v>-20</v>
      </c>
      <c r="B9" s="194">
        <v>1</v>
      </c>
      <c r="C9" s="194">
        <v>2</v>
      </c>
      <c r="D9" s="194">
        <v>0</v>
      </c>
      <c r="E9" s="194">
        <v>0</v>
      </c>
      <c r="F9" s="194">
        <v>0</v>
      </c>
      <c r="G9" s="102">
        <v>3</v>
      </c>
      <c r="H9" s="204">
        <f t="shared" ref="H9:H22" si="0">G9/$G$23%</f>
        <v>0.36719706242350064</v>
      </c>
      <c r="I9" s="833">
        <v>-20</v>
      </c>
    </row>
    <row r="10" spans="1:9" ht="16.5" thickBot="1">
      <c r="A10" s="18" t="s">
        <v>1053</v>
      </c>
      <c r="B10" s="31">
        <v>6</v>
      </c>
      <c r="C10" s="31">
        <v>2</v>
      </c>
      <c r="D10" s="31">
        <v>1</v>
      </c>
      <c r="E10" s="31">
        <v>0</v>
      </c>
      <c r="F10" s="31">
        <v>0</v>
      </c>
      <c r="G10" s="102">
        <v>9</v>
      </c>
      <c r="H10" s="50">
        <f t="shared" si="0"/>
        <v>1.1015911872705018</v>
      </c>
      <c r="I10" s="829" t="s">
        <v>127</v>
      </c>
    </row>
    <row r="11" spans="1:9" ht="16.5" thickBot="1">
      <c r="A11" s="15" t="s">
        <v>1054</v>
      </c>
      <c r="B11" s="31">
        <v>39</v>
      </c>
      <c r="C11" s="31">
        <v>21</v>
      </c>
      <c r="D11" s="31">
        <v>17</v>
      </c>
      <c r="E11" s="31">
        <v>1</v>
      </c>
      <c r="F11" s="31">
        <v>0</v>
      </c>
      <c r="G11" s="102">
        <v>78</v>
      </c>
      <c r="H11" s="49">
        <f t="shared" si="0"/>
        <v>9.5471236230110161</v>
      </c>
      <c r="I11" s="830" t="s">
        <v>126</v>
      </c>
    </row>
    <row r="12" spans="1:9" ht="16.5" thickBot="1">
      <c r="A12" s="18" t="s">
        <v>1055</v>
      </c>
      <c r="B12" s="31">
        <v>60</v>
      </c>
      <c r="C12" s="31">
        <v>70</v>
      </c>
      <c r="D12" s="31">
        <v>15</v>
      </c>
      <c r="E12" s="31">
        <v>4</v>
      </c>
      <c r="F12" s="31">
        <v>0</v>
      </c>
      <c r="G12" s="102">
        <v>149</v>
      </c>
      <c r="H12" s="50">
        <f t="shared" si="0"/>
        <v>18.237454100367199</v>
      </c>
      <c r="I12" s="829" t="s">
        <v>125</v>
      </c>
    </row>
    <row r="13" spans="1:9" ht="16.5" thickBot="1">
      <c r="A13" s="15" t="s">
        <v>1056</v>
      </c>
      <c r="B13" s="31">
        <v>101</v>
      </c>
      <c r="C13" s="31">
        <v>61</v>
      </c>
      <c r="D13" s="31">
        <v>16</v>
      </c>
      <c r="E13" s="31">
        <v>4</v>
      </c>
      <c r="F13" s="31">
        <v>0</v>
      </c>
      <c r="G13" s="102">
        <v>182</v>
      </c>
      <c r="H13" s="49">
        <f t="shared" si="0"/>
        <v>22.276621787025704</v>
      </c>
      <c r="I13" s="830" t="s">
        <v>124</v>
      </c>
    </row>
    <row r="14" spans="1:9" ht="16.5" thickBot="1">
      <c r="A14" s="18" t="s">
        <v>1057</v>
      </c>
      <c r="B14" s="31">
        <v>62</v>
      </c>
      <c r="C14" s="31">
        <v>64</v>
      </c>
      <c r="D14" s="31">
        <v>18</v>
      </c>
      <c r="E14" s="31">
        <v>3</v>
      </c>
      <c r="F14" s="31">
        <v>0</v>
      </c>
      <c r="G14" s="102">
        <v>147</v>
      </c>
      <c r="H14" s="50">
        <f t="shared" si="0"/>
        <v>17.992656058751532</v>
      </c>
      <c r="I14" s="829" t="s">
        <v>123</v>
      </c>
    </row>
    <row r="15" spans="1:9" ht="16.5" thickBot="1">
      <c r="A15" s="15" t="s">
        <v>1058</v>
      </c>
      <c r="B15" s="31">
        <v>50</v>
      </c>
      <c r="C15" s="31">
        <v>44</v>
      </c>
      <c r="D15" s="31">
        <v>5</v>
      </c>
      <c r="E15" s="31">
        <v>3</v>
      </c>
      <c r="F15" s="31">
        <v>0</v>
      </c>
      <c r="G15" s="102">
        <v>102</v>
      </c>
      <c r="H15" s="49">
        <f t="shared" si="0"/>
        <v>12.484700122399021</v>
      </c>
      <c r="I15" s="830" t="s">
        <v>122</v>
      </c>
    </row>
    <row r="16" spans="1:9" ht="16.5" thickBot="1">
      <c r="A16" s="18" t="s">
        <v>1059</v>
      </c>
      <c r="B16" s="31">
        <v>35</v>
      </c>
      <c r="C16" s="31">
        <v>18</v>
      </c>
      <c r="D16" s="31">
        <v>4</v>
      </c>
      <c r="E16" s="31">
        <v>4</v>
      </c>
      <c r="F16" s="31">
        <v>0</v>
      </c>
      <c r="G16" s="102">
        <v>61</v>
      </c>
      <c r="H16" s="50">
        <f t="shared" si="0"/>
        <v>7.466340269277846</v>
      </c>
      <c r="I16" s="829" t="s">
        <v>121</v>
      </c>
    </row>
    <row r="17" spans="1:9" ht="16.5" thickBot="1">
      <c r="A17" s="15" t="s">
        <v>1060</v>
      </c>
      <c r="B17" s="31">
        <v>27</v>
      </c>
      <c r="C17" s="31">
        <v>11</v>
      </c>
      <c r="D17" s="31">
        <v>4</v>
      </c>
      <c r="E17" s="31">
        <v>1</v>
      </c>
      <c r="F17" s="31">
        <v>0</v>
      </c>
      <c r="G17" s="102">
        <v>43</v>
      </c>
      <c r="H17" s="49">
        <f t="shared" si="0"/>
        <v>5.2631578947368425</v>
      </c>
      <c r="I17" s="830" t="s">
        <v>120</v>
      </c>
    </row>
    <row r="18" spans="1:9" ht="16.5" thickBot="1">
      <c r="A18" s="18" t="s">
        <v>1061</v>
      </c>
      <c r="B18" s="31">
        <v>14</v>
      </c>
      <c r="C18" s="31">
        <v>6</v>
      </c>
      <c r="D18" s="31">
        <v>4</v>
      </c>
      <c r="E18" s="31">
        <v>1</v>
      </c>
      <c r="F18" s="31">
        <v>0</v>
      </c>
      <c r="G18" s="102">
        <v>25</v>
      </c>
      <c r="H18" s="50">
        <f t="shared" si="0"/>
        <v>3.0599755201958385</v>
      </c>
      <c r="I18" s="829" t="s">
        <v>119</v>
      </c>
    </row>
    <row r="19" spans="1:9" ht="16.5" thickBot="1">
      <c r="A19" s="15" t="s">
        <v>1062</v>
      </c>
      <c r="B19" s="31">
        <v>3</v>
      </c>
      <c r="C19" s="31">
        <v>4</v>
      </c>
      <c r="D19" s="31">
        <v>0</v>
      </c>
      <c r="E19" s="31">
        <v>0</v>
      </c>
      <c r="F19" s="31">
        <v>0</v>
      </c>
      <c r="G19" s="102">
        <v>7</v>
      </c>
      <c r="H19" s="49">
        <f t="shared" si="0"/>
        <v>0.85679314565483478</v>
      </c>
      <c r="I19" s="830" t="s">
        <v>118</v>
      </c>
    </row>
    <row r="20" spans="1:9" ht="16.5" thickBot="1">
      <c r="A20" s="18" t="s">
        <v>1063</v>
      </c>
      <c r="B20" s="31">
        <v>1</v>
      </c>
      <c r="C20" s="31">
        <v>0</v>
      </c>
      <c r="D20" s="31">
        <v>0</v>
      </c>
      <c r="E20" s="31">
        <v>0</v>
      </c>
      <c r="F20" s="31">
        <v>0</v>
      </c>
      <c r="G20" s="102">
        <v>1</v>
      </c>
      <c r="H20" s="50">
        <f t="shared" si="0"/>
        <v>0.12239902080783353</v>
      </c>
      <c r="I20" s="829" t="s">
        <v>117</v>
      </c>
    </row>
    <row r="21" spans="1:9" ht="16.5" thickBot="1">
      <c r="A21" s="15" t="s">
        <v>116</v>
      </c>
      <c r="B21" s="31">
        <v>0</v>
      </c>
      <c r="C21" s="31">
        <v>0</v>
      </c>
      <c r="D21" s="31">
        <v>1</v>
      </c>
      <c r="E21" s="31">
        <v>0</v>
      </c>
      <c r="F21" s="31">
        <v>0</v>
      </c>
      <c r="G21" s="102">
        <v>1</v>
      </c>
      <c r="H21" s="49">
        <f t="shared" si="0"/>
        <v>0.12239902080783353</v>
      </c>
      <c r="I21" s="830" t="s">
        <v>1064</v>
      </c>
    </row>
    <row r="22" spans="1:9" ht="15.75">
      <c r="A22" s="70" t="s">
        <v>14</v>
      </c>
      <c r="B22" s="209">
        <v>9</v>
      </c>
      <c r="C22" s="209">
        <v>0</v>
      </c>
      <c r="D22" s="209">
        <v>0</v>
      </c>
      <c r="E22" s="209">
        <v>0</v>
      </c>
      <c r="F22" s="209">
        <v>0</v>
      </c>
      <c r="G22" s="513">
        <v>9</v>
      </c>
      <c r="H22" s="48">
        <f t="shared" si="0"/>
        <v>1.1015911872705018</v>
      </c>
      <c r="I22" s="831" t="s">
        <v>15</v>
      </c>
    </row>
    <row r="23" spans="1:9" ht="20.100000000000001" customHeight="1">
      <c r="A23" s="47" t="s">
        <v>16</v>
      </c>
      <c r="B23" s="403">
        <f t="shared" ref="B23:G23" si="1">SUM(B9:B22)</f>
        <v>408</v>
      </c>
      <c r="C23" s="403">
        <f>SUM(C9:C22)</f>
        <v>303</v>
      </c>
      <c r="D23" s="403">
        <f t="shared" si="1"/>
        <v>85</v>
      </c>
      <c r="E23" s="403">
        <f t="shared" si="1"/>
        <v>21</v>
      </c>
      <c r="F23" s="403">
        <f t="shared" si="1"/>
        <v>0</v>
      </c>
      <c r="G23" s="403">
        <f t="shared" si="1"/>
        <v>817</v>
      </c>
      <c r="H23" s="69">
        <f t="shared" ref="H23" si="2">SUM(H9:H22)</f>
        <v>100.00000000000001</v>
      </c>
      <c r="I23" s="38"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23"/>
  <sheetViews>
    <sheetView rightToLeft="1" view="pageBreakPreview" topLeftCell="A7" zoomScaleNormal="100" zoomScaleSheetLayoutView="100" workbookViewId="0">
      <selection activeCell="H23" sqref="H23"/>
    </sheetView>
  </sheetViews>
  <sheetFormatPr defaultColWidth="9.140625" defaultRowHeight="12.75"/>
  <cols>
    <col min="1" max="1" width="22.85546875" style="1" customWidth="1"/>
    <col min="2" max="5" width="13.85546875" style="1" customWidth="1"/>
    <col min="6" max="6" width="12.85546875" style="1" customWidth="1"/>
    <col min="7" max="7" width="12.5703125" style="1" customWidth="1"/>
    <col min="8" max="8" width="13.5703125" style="1" customWidth="1"/>
    <col min="9" max="9" width="21.28515625" style="1" customWidth="1"/>
    <col min="10" max="16384" width="9.140625" style="1"/>
  </cols>
  <sheetData>
    <row r="1" spans="1:9" ht="24" customHeight="1">
      <c r="A1" s="1129" t="s">
        <v>307</v>
      </c>
      <c r="B1" s="1129"/>
      <c r="C1" s="1129"/>
      <c r="D1" s="1129"/>
      <c r="E1" s="1129"/>
      <c r="F1" s="1129"/>
      <c r="G1" s="1129"/>
      <c r="H1" s="1129"/>
      <c r="I1" s="1129"/>
    </row>
    <row r="2" spans="1:9" ht="15.75" customHeight="1">
      <c r="A2" s="1100" t="s">
        <v>306</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1</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326</v>
      </c>
      <c r="B6" s="364"/>
      <c r="C6" s="365"/>
      <c r="D6" s="365"/>
      <c r="E6" s="365"/>
      <c r="F6" s="365"/>
      <c r="G6" s="370"/>
      <c r="H6" s="370"/>
      <c r="I6" s="370" t="s">
        <v>325</v>
      </c>
    </row>
    <row r="7" spans="1:9" ht="27.75" customHeight="1" thickBot="1">
      <c r="A7" s="1176" t="s">
        <v>305</v>
      </c>
      <c r="B7" s="1174" t="s">
        <v>300</v>
      </c>
      <c r="C7" s="1174"/>
      <c r="D7" s="1174"/>
      <c r="E7" s="1174"/>
      <c r="F7" s="1174"/>
      <c r="G7" s="1174"/>
      <c r="H7" s="1125" t="s">
        <v>623</v>
      </c>
      <c r="I7" s="1127" t="s">
        <v>1069</v>
      </c>
    </row>
    <row r="8" spans="1:9" ht="58.5" customHeight="1">
      <c r="A8" s="1177"/>
      <c r="B8" s="535" t="s">
        <v>629</v>
      </c>
      <c r="C8" s="535" t="s">
        <v>630</v>
      </c>
      <c r="D8" s="535" t="s">
        <v>631</v>
      </c>
      <c r="E8" s="535" t="s">
        <v>632</v>
      </c>
      <c r="F8" s="535" t="s">
        <v>601</v>
      </c>
      <c r="G8" s="532" t="s">
        <v>107</v>
      </c>
      <c r="H8" s="1126"/>
      <c r="I8" s="1128"/>
    </row>
    <row r="9" spans="1:9" ht="16.5" thickBot="1">
      <c r="A9" s="741">
        <v>-20</v>
      </c>
      <c r="B9" s="198">
        <v>1</v>
      </c>
      <c r="C9" s="33">
        <v>2</v>
      </c>
      <c r="D9" s="33">
        <v>0</v>
      </c>
      <c r="E9" s="33">
        <v>0</v>
      </c>
      <c r="F9" s="199">
        <v>0</v>
      </c>
      <c r="G9" s="102">
        <v>3</v>
      </c>
      <c r="H9" s="204">
        <f t="shared" ref="H9:H22" si="0">G9/$G$23%</f>
        <v>0.14012143858010276</v>
      </c>
      <c r="I9" s="833">
        <v>-20</v>
      </c>
    </row>
    <row r="10" spans="1:9" ht="16.5" thickBot="1">
      <c r="A10" s="18" t="s">
        <v>1053</v>
      </c>
      <c r="B10" s="206">
        <v>65</v>
      </c>
      <c r="C10" s="31">
        <v>38</v>
      </c>
      <c r="D10" s="31">
        <v>5</v>
      </c>
      <c r="E10" s="31">
        <v>1</v>
      </c>
      <c r="F10" s="207">
        <v>0</v>
      </c>
      <c r="G10" s="102">
        <v>109</v>
      </c>
      <c r="H10" s="50">
        <f t="shared" si="0"/>
        <v>5.0910789350770669</v>
      </c>
      <c r="I10" s="829" t="s">
        <v>127</v>
      </c>
    </row>
    <row r="11" spans="1:9" ht="16.5" thickBot="1">
      <c r="A11" s="15" t="s">
        <v>1054</v>
      </c>
      <c r="B11" s="206">
        <v>194</v>
      </c>
      <c r="C11" s="31">
        <v>153</v>
      </c>
      <c r="D11" s="31">
        <v>42</v>
      </c>
      <c r="E11" s="31">
        <v>3</v>
      </c>
      <c r="F11" s="207">
        <v>0</v>
      </c>
      <c r="G11" s="102">
        <v>392</v>
      </c>
      <c r="H11" s="49">
        <f t="shared" si="0"/>
        <v>18.309201307800095</v>
      </c>
      <c r="I11" s="830" t="s">
        <v>126</v>
      </c>
    </row>
    <row r="12" spans="1:9" ht="16.5" thickBot="1">
      <c r="A12" s="18" t="s">
        <v>1055</v>
      </c>
      <c r="B12" s="206">
        <v>191</v>
      </c>
      <c r="C12" s="31">
        <v>194</v>
      </c>
      <c r="D12" s="31">
        <v>28</v>
      </c>
      <c r="E12" s="31">
        <v>7</v>
      </c>
      <c r="F12" s="207">
        <v>0</v>
      </c>
      <c r="G12" s="102">
        <v>420</v>
      </c>
      <c r="H12" s="50">
        <f t="shared" si="0"/>
        <v>19.617001401214385</v>
      </c>
      <c r="I12" s="829" t="s">
        <v>125</v>
      </c>
    </row>
    <row r="13" spans="1:9" ht="16.5" thickBot="1">
      <c r="A13" s="15" t="s">
        <v>1056</v>
      </c>
      <c r="B13" s="206">
        <v>200</v>
      </c>
      <c r="C13" s="31">
        <v>135</v>
      </c>
      <c r="D13" s="31">
        <v>25</v>
      </c>
      <c r="E13" s="31">
        <v>9</v>
      </c>
      <c r="F13" s="207">
        <v>0</v>
      </c>
      <c r="G13" s="102">
        <v>369</v>
      </c>
      <c r="H13" s="49">
        <f t="shared" si="0"/>
        <v>17.23493694535264</v>
      </c>
      <c r="I13" s="830" t="s">
        <v>124</v>
      </c>
    </row>
    <row r="14" spans="1:9" ht="16.5" thickBot="1">
      <c r="A14" s="18" t="s">
        <v>1057</v>
      </c>
      <c r="B14" s="206">
        <v>124</v>
      </c>
      <c r="C14" s="31">
        <v>124</v>
      </c>
      <c r="D14" s="31">
        <v>25</v>
      </c>
      <c r="E14" s="31">
        <v>11</v>
      </c>
      <c r="F14" s="207">
        <v>0</v>
      </c>
      <c r="G14" s="102">
        <v>284</v>
      </c>
      <c r="H14" s="50">
        <f t="shared" si="0"/>
        <v>13.264829518916395</v>
      </c>
      <c r="I14" s="829" t="s">
        <v>123</v>
      </c>
    </row>
    <row r="15" spans="1:9" ht="16.5" thickBot="1">
      <c r="A15" s="15" t="s">
        <v>1058</v>
      </c>
      <c r="B15" s="206">
        <v>99</v>
      </c>
      <c r="C15" s="31">
        <v>80</v>
      </c>
      <c r="D15" s="31">
        <v>11</v>
      </c>
      <c r="E15" s="31">
        <v>7</v>
      </c>
      <c r="F15" s="207">
        <v>0</v>
      </c>
      <c r="G15" s="102">
        <v>197</v>
      </c>
      <c r="H15" s="49">
        <f t="shared" si="0"/>
        <v>9.2013078000934136</v>
      </c>
      <c r="I15" s="830" t="s">
        <v>122</v>
      </c>
    </row>
    <row r="16" spans="1:9" ht="16.5" thickBot="1">
      <c r="A16" s="18" t="s">
        <v>1059</v>
      </c>
      <c r="B16" s="206">
        <v>75</v>
      </c>
      <c r="C16" s="31">
        <v>50</v>
      </c>
      <c r="D16" s="31">
        <v>8</v>
      </c>
      <c r="E16" s="31">
        <v>10</v>
      </c>
      <c r="F16" s="207">
        <v>0</v>
      </c>
      <c r="G16" s="102">
        <v>143</v>
      </c>
      <c r="H16" s="50">
        <f t="shared" si="0"/>
        <v>6.6791219056515647</v>
      </c>
      <c r="I16" s="829" t="s">
        <v>121</v>
      </c>
    </row>
    <row r="17" spans="1:9" ht="16.5" thickBot="1">
      <c r="A17" s="15" t="s">
        <v>1060</v>
      </c>
      <c r="B17" s="206">
        <v>65</v>
      </c>
      <c r="C17" s="31">
        <v>34</v>
      </c>
      <c r="D17" s="31">
        <v>5</v>
      </c>
      <c r="E17" s="31">
        <v>4</v>
      </c>
      <c r="F17" s="207">
        <v>0</v>
      </c>
      <c r="G17" s="102">
        <v>108</v>
      </c>
      <c r="H17" s="49">
        <f t="shared" si="0"/>
        <v>5.0443717888836987</v>
      </c>
      <c r="I17" s="830" t="s">
        <v>120</v>
      </c>
    </row>
    <row r="18" spans="1:9" ht="16.5" thickBot="1">
      <c r="A18" s="18" t="s">
        <v>1061</v>
      </c>
      <c r="B18" s="206">
        <v>30</v>
      </c>
      <c r="C18" s="31">
        <v>20</v>
      </c>
      <c r="D18" s="31">
        <v>4</v>
      </c>
      <c r="E18" s="31">
        <v>1</v>
      </c>
      <c r="F18" s="207">
        <v>0</v>
      </c>
      <c r="G18" s="102">
        <v>55</v>
      </c>
      <c r="H18" s="50">
        <f t="shared" si="0"/>
        <v>2.5688930406352171</v>
      </c>
      <c r="I18" s="829" t="s">
        <v>119</v>
      </c>
    </row>
    <row r="19" spans="1:9" ht="16.5" thickBot="1">
      <c r="A19" s="15" t="s">
        <v>1062</v>
      </c>
      <c r="B19" s="206">
        <v>14</v>
      </c>
      <c r="C19" s="31">
        <v>13</v>
      </c>
      <c r="D19" s="31">
        <v>0</v>
      </c>
      <c r="E19" s="31">
        <v>1</v>
      </c>
      <c r="F19" s="207">
        <v>0</v>
      </c>
      <c r="G19" s="102">
        <v>28</v>
      </c>
      <c r="H19" s="49">
        <f t="shared" si="0"/>
        <v>1.3078000934142924</v>
      </c>
      <c r="I19" s="830" t="s">
        <v>118</v>
      </c>
    </row>
    <row r="20" spans="1:9" ht="16.5" thickBot="1">
      <c r="A20" s="18" t="s">
        <v>1063</v>
      </c>
      <c r="B20" s="206">
        <v>3</v>
      </c>
      <c r="C20" s="31">
        <v>8</v>
      </c>
      <c r="D20" s="31">
        <v>0</v>
      </c>
      <c r="E20" s="31">
        <v>0</v>
      </c>
      <c r="F20" s="207">
        <v>0</v>
      </c>
      <c r="G20" s="102">
        <v>11</v>
      </c>
      <c r="H20" s="50">
        <f t="shared" si="0"/>
        <v>0.51377860812704346</v>
      </c>
      <c r="I20" s="829" t="s">
        <v>117</v>
      </c>
    </row>
    <row r="21" spans="1:9" ht="16.5" thickBot="1">
      <c r="A21" s="15" t="s">
        <v>116</v>
      </c>
      <c r="B21" s="206">
        <v>4</v>
      </c>
      <c r="C21" s="31">
        <v>8</v>
      </c>
      <c r="D21" s="31">
        <v>1</v>
      </c>
      <c r="E21" s="31">
        <v>0</v>
      </c>
      <c r="F21" s="207">
        <v>0</v>
      </c>
      <c r="G21" s="102">
        <v>13</v>
      </c>
      <c r="H21" s="49">
        <f t="shared" si="0"/>
        <v>0.60719290051377861</v>
      </c>
      <c r="I21" s="830" t="s">
        <v>1064</v>
      </c>
    </row>
    <row r="22" spans="1:9" ht="16.5" thickBot="1">
      <c r="A22" s="70" t="s">
        <v>14</v>
      </c>
      <c r="B22" s="208">
        <v>9</v>
      </c>
      <c r="C22" s="209">
        <v>0</v>
      </c>
      <c r="D22" s="209">
        <v>0</v>
      </c>
      <c r="E22" s="209">
        <v>0</v>
      </c>
      <c r="F22" s="210">
        <v>0</v>
      </c>
      <c r="G22" s="102">
        <v>9</v>
      </c>
      <c r="H22" s="205">
        <f t="shared" si="0"/>
        <v>0.42036431574030825</v>
      </c>
      <c r="I22" s="834" t="s">
        <v>15</v>
      </c>
    </row>
    <row r="23" spans="1:9" ht="20.100000000000001" customHeight="1">
      <c r="A23" s="832" t="s">
        <v>16</v>
      </c>
      <c r="B23" s="96">
        <f t="shared" ref="B23:G23" si="1">SUM(B9:B22)</f>
        <v>1074</v>
      </c>
      <c r="C23" s="96">
        <f t="shared" si="1"/>
        <v>859</v>
      </c>
      <c r="D23" s="96">
        <f t="shared" si="1"/>
        <v>154</v>
      </c>
      <c r="E23" s="96">
        <f t="shared" si="1"/>
        <v>54</v>
      </c>
      <c r="F23" s="96">
        <f t="shared" si="1"/>
        <v>0</v>
      </c>
      <c r="G23" s="96">
        <f t="shared" si="1"/>
        <v>2141</v>
      </c>
      <c r="H23" s="203">
        <f t="shared" ref="H23" si="2">SUM(H9:H22)</f>
        <v>100.00000000000001</v>
      </c>
      <c r="I23" s="86"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20"/>
  <sheetViews>
    <sheetView rightToLeft="1" view="pageBreakPreview" topLeftCell="A7" zoomScaleNormal="100" zoomScaleSheetLayoutView="100" workbookViewId="0">
      <selection activeCell="H20" sqref="H20"/>
    </sheetView>
  </sheetViews>
  <sheetFormatPr defaultColWidth="9.140625" defaultRowHeight="12.75"/>
  <cols>
    <col min="1" max="1" width="21.42578125" style="1" customWidth="1"/>
    <col min="2" max="7" width="13.85546875" style="1" customWidth="1"/>
    <col min="8" max="8" width="13.5703125" style="1" customWidth="1"/>
    <col min="9" max="9" width="19.7109375" style="1" customWidth="1"/>
    <col min="10" max="16384" width="9.140625" style="1"/>
  </cols>
  <sheetData>
    <row r="1" spans="1:9" ht="24" customHeight="1">
      <c r="A1" s="1129" t="s">
        <v>310</v>
      </c>
      <c r="B1" s="1129"/>
      <c r="C1" s="1129"/>
      <c r="D1" s="1129"/>
      <c r="E1" s="1129"/>
      <c r="F1" s="1129"/>
      <c r="G1" s="1129"/>
      <c r="H1" s="1129"/>
      <c r="I1" s="1129"/>
    </row>
    <row r="2" spans="1:9" ht="15.75" customHeight="1">
      <c r="A2" s="1100" t="s">
        <v>309</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167</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328</v>
      </c>
      <c r="B6" s="364"/>
      <c r="C6" s="365"/>
      <c r="D6" s="365"/>
      <c r="E6" s="365"/>
      <c r="F6" s="365"/>
      <c r="G6" s="370"/>
      <c r="H6" s="370"/>
      <c r="I6" s="370" t="s">
        <v>327</v>
      </c>
    </row>
    <row r="7" spans="1:9" ht="27.75" customHeight="1" thickBot="1">
      <c r="A7" s="1176" t="s">
        <v>308</v>
      </c>
      <c r="B7" s="1174" t="s">
        <v>300</v>
      </c>
      <c r="C7" s="1174"/>
      <c r="D7" s="1174"/>
      <c r="E7" s="1174"/>
      <c r="F7" s="1174"/>
      <c r="G7" s="1174"/>
      <c r="H7" s="1125" t="s">
        <v>624</v>
      </c>
      <c r="I7" s="1127" t="s">
        <v>1070</v>
      </c>
    </row>
    <row r="8" spans="1:9" ht="57.75" customHeight="1">
      <c r="A8" s="1177"/>
      <c r="B8" s="535" t="s">
        <v>629</v>
      </c>
      <c r="C8" s="535" t="s">
        <v>630</v>
      </c>
      <c r="D8" s="535" t="s">
        <v>631</v>
      </c>
      <c r="E8" s="535" t="s">
        <v>632</v>
      </c>
      <c r="F8" s="535" t="s">
        <v>601</v>
      </c>
      <c r="G8" s="532" t="s">
        <v>107</v>
      </c>
      <c r="H8" s="1126"/>
      <c r="I8" s="1128"/>
    </row>
    <row r="9" spans="1:9" ht="19.5" customHeight="1" thickBot="1">
      <c r="A9" s="28">
        <v>-20</v>
      </c>
      <c r="B9" s="198">
        <v>19</v>
      </c>
      <c r="C9" s="33">
        <v>9</v>
      </c>
      <c r="D9" s="33">
        <v>4</v>
      </c>
      <c r="E9" s="33">
        <v>0</v>
      </c>
      <c r="F9" s="199">
        <v>0</v>
      </c>
      <c r="G9" s="102">
        <v>32</v>
      </c>
      <c r="H9" s="204">
        <f t="shared" ref="H9:H19" si="0">G9/$G$20%</f>
        <v>2.6294165981922761</v>
      </c>
      <c r="I9" s="833">
        <v>-20</v>
      </c>
    </row>
    <row r="10" spans="1:9" ht="19.5" customHeight="1" thickBot="1">
      <c r="A10" s="18" t="s">
        <v>1053</v>
      </c>
      <c r="B10" s="206">
        <v>143</v>
      </c>
      <c r="C10" s="31">
        <v>85</v>
      </c>
      <c r="D10" s="31">
        <v>19</v>
      </c>
      <c r="E10" s="31">
        <v>2</v>
      </c>
      <c r="F10" s="207">
        <v>0</v>
      </c>
      <c r="G10" s="102">
        <v>249</v>
      </c>
      <c r="H10" s="50">
        <f t="shared" si="0"/>
        <v>20.460147904683648</v>
      </c>
      <c r="I10" s="829" t="s">
        <v>127</v>
      </c>
    </row>
    <row r="11" spans="1:9" ht="19.5" customHeight="1" thickBot="1">
      <c r="A11" s="15" t="s">
        <v>1054</v>
      </c>
      <c r="B11" s="206">
        <v>138</v>
      </c>
      <c r="C11" s="31">
        <v>126</v>
      </c>
      <c r="D11" s="31">
        <v>20</v>
      </c>
      <c r="E11" s="31">
        <v>3</v>
      </c>
      <c r="F11" s="207">
        <v>0</v>
      </c>
      <c r="G11" s="102">
        <v>287</v>
      </c>
      <c r="H11" s="49">
        <f t="shared" si="0"/>
        <v>23.582580115036976</v>
      </c>
      <c r="I11" s="830" t="s">
        <v>126</v>
      </c>
    </row>
    <row r="12" spans="1:9" ht="19.5" customHeight="1" thickBot="1">
      <c r="A12" s="18" t="s">
        <v>1055</v>
      </c>
      <c r="B12" s="206">
        <v>88</v>
      </c>
      <c r="C12" s="31">
        <v>83</v>
      </c>
      <c r="D12" s="31">
        <v>9</v>
      </c>
      <c r="E12" s="31">
        <v>3</v>
      </c>
      <c r="F12" s="207">
        <v>0</v>
      </c>
      <c r="G12" s="102">
        <v>183</v>
      </c>
      <c r="H12" s="50">
        <f t="shared" si="0"/>
        <v>15.036976170912078</v>
      </c>
      <c r="I12" s="829" t="s">
        <v>125</v>
      </c>
    </row>
    <row r="13" spans="1:9" ht="19.5" customHeight="1" thickBot="1">
      <c r="A13" s="15" t="s">
        <v>1056</v>
      </c>
      <c r="B13" s="206">
        <v>78</v>
      </c>
      <c r="C13" s="31">
        <v>74</v>
      </c>
      <c r="D13" s="31">
        <v>9</v>
      </c>
      <c r="E13" s="31">
        <v>8</v>
      </c>
      <c r="F13" s="207">
        <v>0</v>
      </c>
      <c r="G13" s="102">
        <v>169</v>
      </c>
      <c r="H13" s="49">
        <f t="shared" si="0"/>
        <v>13.886606409202958</v>
      </c>
      <c r="I13" s="830" t="s">
        <v>124</v>
      </c>
    </row>
    <row r="14" spans="1:9" ht="19.5" customHeight="1" thickBot="1">
      <c r="A14" s="18" t="s">
        <v>1057</v>
      </c>
      <c r="B14" s="206">
        <v>55</v>
      </c>
      <c r="C14" s="31">
        <v>41</v>
      </c>
      <c r="D14" s="31">
        <v>7</v>
      </c>
      <c r="E14" s="31">
        <v>4</v>
      </c>
      <c r="F14" s="207">
        <v>0</v>
      </c>
      <c r="G14" s="102">
        <v>107</v>
      </c>
      <c r="H14" s="50">
        <f t="shared" si="0"/>
        <v>8.7921117502054233</v>
      </c>
      <c r="I14" s="829" t="s">
        <v>123</v>
      </c>
    </row>
    <row r="15" spans="1:9" ht="19.5" customHeight="1" thickBot="1">
      <c r="A15" s="15" t="s">
        <v>1058</v>
      </c>
      <c r="B15" s="206">
        <v>40</v>
      </c>
      <c r="C15" s="31">
        <v>31</v>
      </c>
      <c r="D15" s="31">
        <v>4</v>
      </c>
      <c r="E15" s="31">
        <v>5</v>
      </c>
      <c r="F15" s="207">
        <v>0</v>
      </c>
      <c r="G15" s="102">
        <v>80</v>
      </c>
      <c r="H15" s="49">
        <f t="shared" si="0"/>
        <v>6.5735414954806899</v>
      </c>
      <c r="I15" s="830" t="s">
        <v>122</v>
      </c>
    </row>
    <row r="16" spans="1:9" ht="19.5" customHeight="1" thickBot="1">
      <c r="A16" s="18" t="s">
        <v>1059</v>
      </c>
      <c r="B16" s="206">
        <v>32</v>
      </c>
      <c r="C16" s="31">
        <v>26</v>
      </c>
      <c r="D16" s="31">
        <v>2</v>
      </c>
      <c r="E16" s="31">
        <v>3</v>
      </c>
      <c r="F16" s="207">
        <v>0</v>
      </c>
      <c r="G16" s="102">
        <v>63</v>
      </c>
      <c r="H16" s="50">
        <f t="shared" si="0"/>
        <v>5.1766639276910436</v>
      </c>
      <c r="I16" s="829" t="s">
        <v>121</v>
      </c>
    </row>
    <row r="17" spans="1:9" ht="19.5" customHeight="1" thickBot="1">
      <c r="A17" s="15" t="s">
        <v>1060</v>
      </c>
      <c r="B17" s="206">
        <v>16</v>
      </c>
      <c r="C17" s="31">
        <v>10</v>
      </c>
      <c r="D17" s="31">
        <v>1</v>
      </c>
      <c r="E17" s="31">
        <v>2</v>
      </c>
      <c r="F17" s="207">
        <v>0</v>
      </c>
      <c r="G17" s="102">
        <v>29</v>
      </c>
      <c r="H17" s="49">
        <f t="shared" si="0"/>
        <v>2.3829087921117504</v>
      </c>
      <c r="I17" s="830" t="s">
        <v>120</v>
      </c>
    </row>
    <row r="18" spans="1:9" ht="19.5" customHeight="1" thickBot="1">
      <c r="A18" s="18" t="s">
        <v>132</v>
      </c>
      <c r="B18" s="206">
        <v>9</v>
      </c>
      <c r="C18" s="31">
        <v>9</v>
      </c>
      <c r="D18" s="31">
        <v>0</v>
      </c>
      <c r="E18" s="31">
        <v>0</v>
      </c>
      <c r="F18" s="207">
        <v>0</v>
      </c>
      <c r="G18" s="102">
        <v>18</v>
      </c>
      <c r="H18" s="50">
        <f t="shared" si="0"/>
        <v>1.4790468364831553</v>
      </c>
      <c r="I18" s="829" t="s">
        <v>1065</v>
      </c>
    </row>
    <row r="19" spans="1:9" ht="19.5" customHeight="1" thickBot="1">
      <c r="A19" s="211" t="s">
        <v>14</v>
      </c>
      <c r="B19" s="208">
        <v>0</v>
      </c>
      <c r="C19" s="209">
        <v>0</v>
      </c>
      <c r="D19" s="209">
        <v>0</v>
      </c>
      <c r="E19" s="209">
        <v>0</v>
      </c>
      <c r="F19" s="210">
        <v>0</v>
      </c>
      <c r="G19" s="102">
        <v>0</v>
      </c>
      <c r="H19" s="212">
        <f t="shared" si="0"/>
        <v>0</v>
      </c>
      <c r="I19" s="835" t="s">
        <v>15</v>
      </c>
    </row>
    <row r="20" spans="1:9" ht="19.5" customHeight="1">
      <c r="A20" s="73" t="s">
        <v>16</v>
      </c>
      <c r="B20" s="214">
        <f>SUM(B9:B19)</f>
        <v>618</v>
      </c>
      <c r="C20" s="214">
        <f t="shared" ref="C20:G20" si="1">SUM(C9:C19)</f>
        <v>494</v>
      </c>
      <c r="D20" s="214">
        <f>SUM(D9:D19)</f>
        <v>75</v>
      </c>
      <c r="E20" s="214">
        <f t="shared" si="1"/>
        <v>30</v>
      </c>
      <c r="F20" s="214">
        <f>SUM(F9:F19)</f>
        <v>0</v>
      </c>
      <c r="G20" s="214">
        <f t="shared" si="1"/>
        <v>1217</v>
      </c>
      <c r="H20" s="72">
        <f t="shared" ref="H20" si="2">SUM(H9:H19)</f>
        <v>99.999999999999972</v>
      </c>
      <c r="I20" s="71"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7"/>
  <sheetViews>
    <sheetView rightToLeft="1" view="pageBreakPreview" zoomScaleNormal="100" zoomScaleSheetLayoutView="100" workbookViewId="0">
      <selection activeCell="G11" sqref="G11"/>
    </sheetView>
  </sheetViews>
  <sheetFormatPr defaultColWidth="9.140625" defaultRowHeight="12.75"/>
  <cols>
    <col min="1" max="1" width="41.28515625" style="1" customWidth="1"/>
    <col min="2" max="2" width="3.7109375" style="1" customWidth="1"/>
    <col min="3" max="3" width="40.7109375" style="1" customWidth="1"/>
    <col min="4" max="16384" width="9.140625" style="1"/>
  </cols>
  <sheetData>
    <row r="1" spans="1:3" ht="66.75" customHeight="1">
      <c r="A1" s="693" t="s">
        <v>858</v>
      </c>
      <c r="B1" s="692"/>
      <c r="C1" s="691" t="s">
        <v>845</v>
      </c>
    </row>
    <row r="2" spans="1:3" ht="25.5" customHeight="1">
      <c r="A2" s="690"/>
      <c r="B2" s="689"/>
      <c r="C2" s="689"/>
    </row>
    <row r="3" spans="1:3" ht="76.5" customHeight="1">
      <c r="A3" s="639" t="s">
        <v>1080</v>
      </c>
      <c r="B3" s="635"/>
      <c r="C3" s="898" t="s">
        <v>1079</v>
      </c>
    </row>
    <row r="4" spans="1:3" ht="12" customHeight="1">
      <c r="A4" s="639"/>
      <c r="B4" s="635"/>
      <c r="C4" s="898"/>
    </row>
    <row r="5" spans="1:3" ht="105" customHeight="1">
      <c r="A5" s="639" t="s">
        <v>1082</v>
      </c>
      <c r="B5" s="635"/>
      <c r="C5" s="898" t="s">
        <v>1078</v>
      </c>
    </row>
    <row r="6" spans="1:3" ht="10.5" customHeight="1">
      <c r="A6" s="639"/>
      <c r="B6" s="637"/>
      <c r="C6" s="638"/>
    </row>
    <row r="7" spans="1:3" ht="54" customHeight="1">
      <c r="A7" s="639" t="s">
        <v>1081</v>
      </c>
      <c r="B7" s="637"/>
      <c r="C7" s="898" t="s">
        <v>857</v>
      </c>
    </row>
  </sheetData>
  <pageMargins left="0.44" right="0.61" top="1" bottom="1" header="0.5" footer="0.5"/>
  <pageSetup paperSize="9" scale="9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I20"/>
  <sheetViews>
    <sheetView rightToLeft="1" view="pageBreakPreview" topLeftCell="A7" zoomScaleNormal="100" zoomScaleSheetLayoutView="100" workbookViewId="0">
      <selection activeCell="F26" sqref="F26"/>
    </sheetView>
  </sheetViews>
  <sheetFormatPr defaultColWidth="9.140625" defaultRowHeight="12.75"/>
  <cols>
    <col min="1" max="1" width="21.42578125" style="1" customWidth="1"/>
    <col min="2" max="7" width="13.85546875" style="1" customWidth="1"/>
    <col min="8" max="8" width="13.5703125" style="1" customWidth="1"/>
    <col min="9" max="9" width="19.7109375" style="1" customWidth="1"/>
    <col min="10" max="16384" width="9.140625" style="1"/>
  </cols>
  <sheetData>
    <row r="1" spans="1:9" ht="24" customHeight="1">
      <c r="A1" s="1129" t="s">
        <v>310</v>
      </c>
      <c r="B1" s="1129"/>
      <c r="C1" s="1129"/>
      <c r="D1" s="1129"/>
      <c r="E1" s="1129"/>
      <c r="F1" s="1129"/>
      <c r="G1" s="1129"/>
      <c r="H1" s="1129"/>
      <c r="I1" s="1129"/>
    </row>
    <row r="2" spans="1:9" ht="15.75" customHeight="1">
      <c r="A2" s="1100" t="s">
        <v>309</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172</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332</v>
      </c>
      <c r="B6" s="364"/>
      <c r="C6" s="365"/>
      <c r="D6" s="365"/>
      <c r="E6" s="365"/>
      <c r="F6" s="365"/>
      <c r="G6" s="370"/>
      <c r="H6" s="370"/>
      <c r="I6" s="370" t="s">
        <v>331</v>
      </c>
    </row>
    <row r="7" spans="1:9" ht="27.75" customHeight="1" thickBot="1">
      <c r="A7" s="1176" t="s">
        <v>308</v>
      </c>
      <c r="B7" s="1174" t="s">
        <v>300</v>
      </c>
      <c r="C7" s="1174"/>
      <c r="D7" s="1174"/>
      <c r="E7" s="1174"/>
      <c r="F7" s="1174"/>
      <c r="G7" s="1174"/>
      <c r="H7" s="1125" t="s">
        <v>624</v>
      </c>
      <c r="I7" s="1127" t="s">
        <v>1070</v>
      </c>
    </row>
    <row r="8" spans="1:9" ht="57.75" customHeight="1">
      <c r="A8" s="1177"/>
      <c r="B8" s="535" t="s">
        <v>629</v>
      </c>
      <c r="C8" s="535" t="s">
        <v>630</v>
      </c>
      <c r="D8" s="535" t="s">
        <v>631</v>
      </c>
      <c r="E8" s="535" t="s">
        <v>632</v>
      </c>
      <c r="F8" s="535" t="s">
        <v>601</v>
      </c>
      <c r="G8" s="532" t="s">
        <v>107</v>
      </c>
      <c r="H8" s="1126"/>
      <c r="I8" s="1128"/>
    </row>
    <row r="9" spans="1:9" ht="19.5" customHeight="1" thickBot="1">
      <c r="A9" s="28">
        <v>-20</v>
      </c>
      <c r="B9" s="198">
        <v>3</v>
      </c>
      <c r="C9" s="33">
        <v>5</v>
      </c>
      <c r="D9" s="33">
        <v>1</v>
      </c>
      <c r="E9" s="33">
        <v>0</v>
      </c>
      <c r="F9" s="199">
        <v>0</v>
      </c>
      <c r="G9" s="102">
        <v>9</v>
      </c>
      <c r="H9" s="204">
        <f t="shared" ref="H9:H19" si="0">G9/$G$20%</f>
        <v>0.97402597402597402</v>
      </c>
      <c r="I9" s="833">
        <v>-20</v>
      </c>
    </row>
    <row r="10" spans="1:9" ht="19.5" customHeight="1" thickBot="1">
      <c r="A10" s="18" t="s">
        <v>1053</v>
      </c>
      <c r="B10" s="206">
        <v>40</v>
      </c>
      <c r="C10" s="31">
        <v>22</v>
      </c>
      <c r="D10" s="31">
        <v>15</v>
      </c>
      <c r="E10" s="31">
        <v>1</v>
      </c>
      <c r="F10" s="207">
        <v>0</v>
      </c>
      <c r="G10" s="102">
        <v>78</v>
      </c>
      <c r="H10" s="50">
        <f t="shared" si="0"/>
        <v>8.4415584415584419</v>
      </c>
      <c r="I10" s="829" t="s">
        <v>127</v>
      </c>
    </row>
    <row r="11" spans="1:9" ht="19.5" customHeight="1" thickBot="1">
      <c r="A11" s="15" t="s">
        <v>1054</v>
      </c>
      <c r="B11" s="206">
        <v>76</v>
      </c>
      <c r="C11" s="31">
        <v>59</v>
      </c>
      <c r="D11" s="31">
        <v>16</v>
      </c>
      <c r="E11" s="31">
        <v>6</v>
      </c>
      <c r="F11" s="207">
        <v>0</v>
      </c>
      <c r="G11" s="102">
        <v>157</v>
      </c>
      <c r="H11" s="49">
        <f t="shared" si="0"/>
        <v>16.99134199134199</v>
      </c>
      <c r="I11" s="830" t="s">
        <v>126</v>
      </c>
    </row>
    <row r="12" spans="1:9" ht="19.5" customHeight="1" thickBot="1">
      <c r="A12" s="18" t="s">
        <v>1055</v>
      </c>
      <c r="B12" s="206">
        <v>87</v>
      </c>
      <c r="C12" s="31">
        <v>83</v>
      </c>
      <c r="D12" s="31">
        <v>18</v>
      </c>
      <c r="E12" s="31">
        <v>2</v>
      </c>
      <c r="F12" s="207">
        <v>0</v>
      </c>
      <c r="G12" s="102">
        <v>190</v>
      </c>
      <c r="H12" s="50">
        <f t="shared" si="0"/>
        <v>20.562770562770563</v>
      </c>
      <c r="I12" s="829" t="s">
        <v>125</v>
      </c>
    </row>
    <row r="13" spans="1:9" ht="19.5" customHeight="1" thickBot="1">
      <c r="A13" s="15" t="s">
        <v>1056</v>
      </c>
      <c r="B13" s="206">
        <v>90</v>
      </c>
      <c r="C13" s="31">
        <v>81</v>
      </c>
      <c r="D13" s="31">
        <v>10</v>
      </c>
      <c r="E13" s="31">
        <v>11</v>
      </c>
      <c r="F13" s="207">
        <v>0</v>
      </c>
      <c r="G13" s="102">
        <v>192</v>
      </c>
      <c r="H13" s="49">
        <f t="shared" si="0"/>
        <v>20.779220779220779</v>
      </c>
      <c r="I13" s="830" t="s">
        <v>124</v>
      </c>
    </row>
    <row r="14" spans="1:9" ht="19.5" customHeight="1" thickBot="1">
      <c r="A14" s="18" t="s">
        <v>1057</v>
      </c>
      <c r="B14" s="206">
        <v>62</v>
      </c>
      <c r="C14" s="31">
        <v>59</v>
      </c>
      <c r="D14" s="31">
        <v>9</v>
      </c>
      <c r="E14" s="31">
        <v>0</v>
      </c>
      <c r="F14" s="207">
        <v>0</v>
      </c>
      <c r="G14" s="102">
        <v>130</v>
      </c>
      <c r="H14" s="50">
        <f t="shared" si="0"/>
        <v>14.069264069264069</v>
      </c>
      <c r="I14" s="829" t="s">
        <v>123</v>
      </c>
    </row>
    <row r="15" spans="1:9" ht="19.5" customHeight="1" thickBot="1">
      <c r="A15" s="15" t="s">
        <v>1058</v>
      </c>
      <c r="B15" s="206">
        <v>46</v>
      </c>
      <c r="C15" s="31">
        <v>25</v>
      </c>
      <c r="D15" s="31">
        <v>5</v>
      </c>
      <c r="E15" s="31">
        <v>0</v>
      </c>
      <c r="F15" s="207">
        <v>0</v>
      </c>
      <c r="G15" s="102">
        <v>76</v>
      </c>
      <c r="H15" s="49">
        <f t="shared" si="0"/>
        <v>8.2251082251082241</v>
      </c>
      <c r="I15" s="830" t="s">
        <v>122</v>
      </c>
    </row>
    <row r="16" spans="1:9" ht="19.5" customHeight="1" thickBot="1">
      <c r="A16" s="18" t="s">
        <v>1059</v>
      </c>
      <c r="B16" s="206">
        <v>20</v>
      </c>
      <c r="C16" s="31">
        <v>13</v>
      </c>
      <c r="D16" s="31">
        <v>2</v>
      </c>
      <c r="E16" s="31">
        <v>3</v>
      </c>
      <c r="F16" s="207">
        <v>0</v>
      </c>
      <c r="G16" s="102">
        <v>38</v>
      </c>
      <c r="H16" s="50">
        <f t="shared" si="0"/>
        <v>4.1125541125541121</v>
      </c>
      <c r="I16" s="829" t="s">
        <v>121</v>
      </c>
    </row>
    <row r="17" spans="1:9" ht="19.5" customHeight="1" thickBot="1">
      <c r="A17" s="15" t="s">
        <v>1060</v>
      </c>
      <c r="B17" s="206">
        <v>6</v>
      </c>
      <c r="C17" s="31">
        <v>4</v>
      </c>
      <c r="D17" s="31">
        <v>3</v>
      </c>
      <c r="E17" s="31">
        <v>0</v>
      </c>
      <c r="F17" s="207">
        <v>0</v>
      </c>
      <c r="G17" s="102">
        <v>13</v>
      </c>
      <c r="H17" s="49">
        <f t="shared" si="0"/>
        <v>1.4069264069264069</v>
      </c>
      <c r="I17" s="830" t="s">
        <v>120</v>
      </c>
    </row>
    <row r="18" spans="1:9" ht="19.5" customHeight="1" thickBot="1">
      <c r="A18" s="18" t="s">
        <v>132</v>
      </c>
      <c r="B18" s="206">
        <v>4</v>
      </c>
      <c r="C18" s="31">
        <v>2</v>
      </c>
      <c r="D18" s="31">
        <v>0</v>
      </c>
      <c r="E18" s="31">
        <v>1</v>
      </c>
      <c r="F18" s="207">
        <v>0</v>
      </c>
      <c r="G18" s="102">
        <v>7</v>
      </c>
      <c r="H18" s="50">
        <f t="shared" si="0"/>
        <v>0.75757575757575757</v>
      </c>
      <c r="I18" s="829" t="s">
        <v>1065</v>
      </c>
    </row>
    <row r="19" spans="1:9" ht="19.5" customHeight="1" thickBot="1">
      <c r="A19" s="211" t="s">
        <v>14</v>
      </c>
      <c r="B19" s="208">
        <v>22</v>
      </c>
      <c r="C19" s="209">
        <v>12</v>
      </c>
      <c r="D19" s="209">
        <v>0</v>
      </c>
      <c r="E19" s="209">
        <v>0</v>
      </c>
      <c r="F19" s="210">
        <v>0</v>
      </c>
      <c r="G19" s="102">
        <v>34</v>
      </c>
      <c r="H19" s="212">
        <f t="shared" si="0"/>
        <v>3.6796536796536796</v>
      </c>
      <c r="I19" s="835" t="s">
        <v>15</v>
      </c>
    </row>
    <row r="20" spans="1:9" ht="19.5" customHeight="1">
      <c r="A20" s="73" t="s">
        <v>16</v>
      </c>
      <c r="B20" s="214">
        <f t="shared" ref="B20:G20" si="1">SUM(B9:B19)</f>
        <v>456</v>
      </c>
      <c r="C20" s="214">
        <f t="shared" si="1"/>
        <v>365</v>
      </c>
      <c r="D20" s="214">
        <f t="shared" si="1"/>
        <v>79</v>
      </c>
      <c r="E20" s="214">
        <f t="shared" si="1"/>
        <v>24</v>
      </c>
      <c r="F20" s="214">
        <f t="shared" si="1"/>
        <v>0</v>
      </c>
      <c r="G20" s="214">
        <f t="shared" si="1"/>
        <v>924</v>
      </c>
      <c r="H20" s="72">
        <f t="shared" ref="H20" si="2">SUM(H9:H19)</f>
        <v>99.999999999999986</v>
      </c>
      <c r="I20" s="71"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I20"/>
  <sheetViews>
    <sheetView rightToLeft="1" view="pageBreakPreview" topLeftCell="A7" zoomScaleNormal="100" zoomScaleSheetLayoutView="100" workbookViewId="0">
      <selection activeCell="H20" sqref="H20"/>
    </sheetView>
  </sheetViews>
  <sheetFormatPr defaultColWidth="9.140625" defaultRowHeight="12.75"/>
  <cols>
    <col min="1" max="1" width="21.42578125" style="1" customWidth="1"/>
    <col min="2" max="7" width="13.85546875" style="1" customWidth="1"/>
    <col min="8" max="8" width="13.5703125" style="1" customWidth="1"/>
    <col min="9" max="9" width="19.7109375" style="1" customWidth="1"/>
    <col min="10" max="16384" width="9.140625" style="1"/>
  </cols>
  <sheetData>
    <row r="1" spans="1:9" ht="24" customHeight="1">
      <c r="A1" s="1129" t="s">
        <v>310</v>
      </c>
      <c r="B1" s="1129"/>
      <c r="C1" s="1129"/>
      <c r="D1" s="1129"/>
      <c r="E1" s="1129"/>
      <c r="F1" s="1129"/>
      <c r="G1" s="1129"/>
      <c r="H1" s="1129"/>
      <c r="I1" s="1129"/>
    </row>
    <row r="2" spans="1:9" ht="15.75" customHeight="1">
      <c r="A2" s="1100" t="s">
        <v>309</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1</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334</v>
      </c>
      <c r="B6" s="364"/>
      <c r="C6" s="365"/>
      <c r="D6" s="365"/>
      <c r="E6" s="365"/>
      <c r="F6" s="365"/>
      <c r="G6" s="370"/>
      <c r="H6" s="370"/>
      <c r="I6" s="370" t="s">
        <v>333</v>
      </c>
    </row>
    <row r="7" spans="1:9" ht="27.75" customHeight="1" thickBot="1">
      <c r="A7" s="1176" t="s">
        <v>308</v>
      </c>
      <c r="B7" s="1174" t="s">
        <v>300</v>
      </c>
      <c r="C7" s="1174"/>
      <c r="D7" s="1174"/>
      <c r="E7" s="1174"/>
      <c r="F7" s="1174"/>
      <c r="G7" s="1174"/>
      <c r="H7" s="1125" t="s">
        <v>625</v>
      </c>
      <c r="I7" s="1127" t="s">
        <v>1070</v>
      </c>
    </row>
    <row r="8" spans="1:9" ht="57.75" customHeight="1">
      <c r="A8" s="1177"/>
      <c r="B8" s="535" t="s">
        <v>629</v>
      </c>
      <c r="C8" s="535" t="s">
        <v>630</v>
      </c>
      <c r="D8" s="535" t="s">
        <v>631</v>
      </c>
      <c r="E8" s="535" t="s">
        <v>632</v>
      </c>
      <c r="F8" s="535" t="s">
        <v>601</v>
      </c>
      <c r="G8" s="532" t="s">
        <v>107</v>
      </c>
      <c r="H8" s="1126"/>
      <c r="I8" s="1128"/>
    </row>
    <row r="9" spans="1:9" ht="19.5" customHeight="1" thickBot="1">
      <c r="A9" s="28">
        <v>-20</v>
      </c>
      <c r="B9" s="198">
        <v>22</v>
      </c>
      <c r="C9" s="33">
        <v>14</v>
      </c>
      <c r="D9" s="33">
        <v>5</v>
      </c>
      <c r="E9" s="33">
        <v>0</v>
      </c>
      <c r="F9" s="199">
        <v>0</v>
      </c>
      <c r="G9" s="102">
        <v>41</v>
      </c>
      <c r="H9" s="204">
        <f t="shared" ref="H9:H19" si="0">G9/$G$20%</f>
        <v>1.914992993928071</v>
      </c>
      <c r="I9" s="833">
        <v>-20</v>
      </c>
    </row>
    <row r="10" spans="1:9" ht="19.5" customHeight="1" thickBot="1">
      <c r="A10" s="18" t="s">
        <v>1053</v>
      </c>
      <c r="B10" s="206">
        <v>183</v>
      </c>
      <c r="C10" s="31">
        <v>107</v>
      </c>
      <c r="D10" s="31">
        <v>34</v>
      </c>
      <c r="E10" s="31">
        <v>3</v>
      </c>
      <c r="F10" s="207">
        <v>0</v>
      </c>
      <c r="G10" s="102">
        <v>327</v>
      </c>
      <c r="H10" s="50">
        <f t="shared" si="0"/>
        <v>15.2732368052312</v>
      </c>
      <c r="I10" s="829" t="s">
        <v>127</v>
      </c>
    </row>
    <row r="11" spans="1:9" ht="19.5" customHeight="1" thickBot="1">
      <c r="A11" s="15" t="s">
        <v>1054</v>
      </c>
      <c r="B11" s="206">
        <v>214</v>
      </c>
      <c r="C11" s="31">
        <v>185</v>
      </c>
      <c r="D11" s="31">
        <v>36</v>
      </c>
      <c r="E11" s="31">
        <v>9</v>
      </c>
      <c r="F11" s="207">
        <v>0</v>
      </c>
      <c r="G11" s="102">
        <v>444</v>
      </c>
      <c r="H11" s="49">
        <f t="shared" si="0"/>
        <v>20.737972909855209</v>
      </c>
      <c r="I11" s="830" t="s">
        <v>126</v>
      </c>
    </row>
    <row r="12" spans="1:9" ht="19.5" customHeight="1" thickBot="1">
      <c r="A12" s="18" t="s">
        <v>1055</v>
      </c>
      <c r="B12" s="206">
        <v>175</v>
      </c>
      <c r="C12" s="31">
        <v>166</v>
      </c>
      <c r="D12" s="31">
        <v>27</v>
      </c>
      <c r="E12" s="31">
        <v>5</v>
      </c>
      <c r="F12" s="207">
        <v>0</v>
      </c>
      <c r="G12" s="102">
        <v>373</v>
      </c>
      <c r="H12" s="50">
        <f t="shared" si="0"/>
        <v>17.421765530126109</v>
      </c>
      <c r="I12" s="829" t="s">
        <v>125</v>
      </c>
    </row>
    <row r="13" spans="1:9" ht="19.5" customHeight="1" thickBot="1">
      <c r="A13" s="15" t="s">
        <v>1056</v>
      </c>
      <c r="B13" s="206">
        <v>168</v>
      </c>
      <c r="C13" s="31">
        <v>155</v>
      </c>
      <c r="D13" s="31">
        <v>19</v>
      </c>
      <c r="E13" s="31">
        <v>19</v>
      </c>
      <c r="F13" s="207">
        <v>0</v>
      </c>
      <c r="G13" s="102">
        <v>361</v>
      </c>
      <c r="H13" s="49">
        <f t="shared" si="0"/>
        <v>16.861279775805698</v>
      </c>
      <c r="I13" s="830" t="s">
        <v>124</v>
      </c>
    </row>
    <row r="14" spans="1:9" ht="19.5" customHeight="1" thickBot="1">
      <c r="A14" s="18" t="s">
        <v>1057</v>
      </c>
      <c r="B14" s="206">
        <v>117</v>
      </c>
      <c r="C14" s="31">
        <v>100</v>
      </c>
      <c r="D14" s="31">
        <v>16</v>
      </c>
      <c r="E14" s="31">
        <v>4</v>
      </c>
      <c r="F14" s="207">
        <v>0</v>
      </c>
      <c r="G14" s="102">
        <v>237</v>
      </c>
      <c r="H14" s="50">
        <f t="shared" si="0"/>
        <v>11.069593647828118</v>
      </c>
      <c r="I14" s="829" t="s">
        <v>123</v>
      </c>
    </row>
    <row r="15" spans="1:9" ht="19.5" customHeight="1" thickBot="1">
      <c r="A15" s="15" t="s">
        <v>1058</v>
      </c>
      <c r="B15" s="206">
        <v>86</v>
      </c>
      <c r="C15" s="31">
        <v>56</v>
      </c>
      <c r="D15" s="31">
        <v>9</v>
      </c>
      <c r="E15" s="31">
        <v>5</v>
      </c>
      <c r="F15" s="207">
        <v>0</v>
      </c>
      <c r="G15" s="102">
        <v>156</v>
      </c>
      <c r="H15" s="49">
        <f t="shared" si="0"/>
        <v>7.2863148061653433</v>
      </c>
      <c r="I15" s="830" t="s">
        <v>122</v>
      </c>
    </row>
    <row r="16" spans="1:9" ht="19.5" customHeight="1" thickBot="1">
      <c r="A16" s="18" t="s">
        <v>1059</v>
      </c>
      <c r="B16" s="206">
        <v>52</v>
      </c>
      <c r="C16" s="31">
        <v>39</v>
      </c>
      <c r="D16" s="31">
        <v>4</v>
      </c>
      <c r="E16" s="31">
        <v>6</v>
      </c>
      <c r="F16" s="207">
        <v>0</v>
      </c>
      <c r="G16" s="102">
        <v>101</v>
      </c>
      <c r="H16" s="50">
        <f t="shared" si="0"/>
        <v>4.7174217655301263</v>
      </c>
      <c r="I16" s="829" t="s">
        <v>121</v>
      </c>
    </row>
    <row r="17" spans="1:9" ht="19.5" customHeight="1" thickBot="1">
      <c r="A17" s="15" t="s">
        <v>1060</v>
      </c>
      <c r="B17" s="206">
        <v>22</v>
      </c>
      <c r="C17" s="31">
        <v>14</v>
      </c>
      <c r="D17" s="31">
        <v>4</v>
      </c>
      <c r="E17" s="31">
        <v>2</v>
      </c>
      <c r="F17" s="207">
        <v>0</v>
      </c>
      <c r="G17" s="102">
        <v>42</v>
      </c>
      <c r="H17" s="49">
        <f t="shared" si="0"/>
        <v>1.9617001401214387</v>
      </c>
      <c r="I17" s="830" t="s">
        <v>120</v>
      </c>
    </row>
    <row r="18" spans="1:9" ht="19.5" customHeight="1" thickBot="1">
      <c r="A18" s="18" t="s">
        <v>132</v>
      </c>
      <c r="B18" s="206">
        <v>13</v>
      </c>
      <c r="C18" s="31">
        <v>11</v>
      </c>
      <c r="D18" s="31">
        <v>0</v>
      </c>
      <c r="E18" s="31">
        <v>1</v>
      </c>
      <c r="F18" s="207">
        <v>0</v>
      </c>
      <c r="G18" s="102">
        <v>25</v>
      </c>
      <c r="H18" s="50">
        <f t="shared" si="0"/>
        <v>1.1676786548341895</v>
      </c>
      <c r="I18" s="829" t="s">
        <v>1065</v>
      </c>
    </row>
    <row r="19" spans="1:9" ht="19.5" customHeight="1" thickBot="1">
      <c r="A19" s="211" t="s">
        <v>14</v>
      </c>
      <c r="B19" s="208">
        <v>22</v>
      </c>
      <c r="C19" s="209">
        <v>12</v>
      </c>
      <c r="D19" s="209">
        <v>0</v>
      </c>
      <c r="E19" s="209">
        <v>0</v>
      </c>
      <c r="F19" s="210">
        <v>0</v>
      </c>
      <c r="G19" s="102">
        <v>34</v>
      </c>
      <c r="H19" s="212">
        <f t="shared" si="0"/>
        <v>1.5880429705744978</v>
      </c>
      <c r="I19" s="835" t="s">
        <v>15</v>
      </c>
    </row>
    <row r="20" spans="1:9" ht="19.5" customHeight="1">
      <c r="A20" s="73" t="s">
        <v>16</v>
      </c>
      <c r="B20" s="214">
        <f t="shared" ref="B20:G20" si="1">SUM(B9:B19)</f>
        <v>1074</v>
      </c>
      <c r="C20" s="214">
        <f t="shared" si="1"/>
        <v>859</v>
      </c>
      <c r="D20" s="214">
        <f t="shared" si="1"/>
        <v>154</v>
      </c>
      <c r="E20" s="214">
        <f t="shared" si="1"/>
        <v>54</v>
      </c>
      <c r="F20" s="214">
        <f t="shared" si="1"/>
        <v>0</v>
      </c>
      <c r="G20" s="214">
        <f t="shared" si="1"/>
        <v>2141</v>
      </c>
      <c r="H20" s="72">
        <f t="shared" ref="H20" si="2">SUM(H9:H19)</f>
        <v>99.999999999999986</v>
      </c>
      <c r="I20" s="836" t="s">
        <v>55</v>
      </c>
    </row>
  </sheetData>
  <mergeCells count="8">
    <mergeCell ref="A7:A8"/>
    <mergeCell ref="B7:G7"/>
    <mergeCell ref="H7:H8"/>
    <mergeCell ref="I7:I8"/>
    <mergeCell ref="A1:I1"/>
    <mergeCell ref="A2:I2"/>
    <mergeCell ref="A3:I3"/>
    <mergeCell ref="A4:I4"/>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K23"/>
  <sheetViews>
    <sheetView rightToLeft="1" view="pageBreakPreview" topLeftCell="A4" zoomScaleNormal="100" zoomScaleSheetLayoutView="100" workbookViewId="0">
      <selection activeCell="D20" sqref="D20"/>
    </sheetView>
  </sheetViews>
  <sheetFormatPr defaultColWidth="9.140625" defaultRowHeight="12.75"/>
  <cols>
    <col min="1" max="1" width="16.85546875" style="2" customWidth="1"/>
    <col min="2" max="2" width="10.5703125" style="2" customWidth="1"/>
    <col min="3" max="3" width="14.140625" style="2" customWidth="1"/>
    <col min="4" max="6" width="12.7109375" style="2" customWidth="1"/>
    <col min="7" max="7" width="11.85546875" style="2" customWidth="1"/>
    <col min="8" max="8" width="12.7109375" style="2" customWidth="1"/>
    <col min="9" max="9" width="12.7109375" style="1" customWidth="1"/>
    <col min="10" max="10" width="11.85546875" style="174" customWidth="1"/>
    <col min="11" max="11" width="24.7109375" style="2" customWidth="1"/>
    <col min="12" max="16384" width="9.140625" style="2"/>
  </cols>
  <sheetData>
    <row r="1" spans="1:11" ht="24" customHeight="1">
      <c r="A1" s="1041" t="s">
        <v>445</v>
      </c>
      <c r="B1" s="1041"/>
      <c r="C1" s="1041"/>
      <c r="D1" s="1142"/>
      <c r="E1" s="1041"/>
      <c r="F1" s="1041"/>
      <c r="G1" s="1041"/>
      <c r="H1" s="1041"/>
      <c r="I1" s="1041"/>
      <c r="J1" s="1041"/>
      <c r="K1" s="1041"/>
    </row>
    <row r="2" spans="1:11" s="3" customFormat="1" ht="18" customHeight="1">
      <c r="A2" s="1068" t="s">
        <v>559</v>
      </c>
      <c r="B2" s="1068"/>
      <c r="C2" s="1068"/>
      <c r="D2" s="1068"/>
      <c r="E2" s="1068"/>
      <c r="F2" s="1068"/>
      <c r="G2" s="1068"/>
      <c r="H2" s="1068"/>
      <c r="I2" s="1068"/>
      <c r="J2" s="1068"/>
      <c r="K2" s="1068"/>
    </row>
    <row r="3" spans="1:11" ht="15.75">
      <c r="A3" s="1069">
        <v>2021</v>
      </c>
      <c r="B3" s="1069"/>
      <c r="C3" s="1069"/>
      <c r="D3" s="1069"/>
      <c r="E3" s="1069"/>
      <c r="F3" s="1069"/>
      <c r="G3" s="1069"/>
      <c r="H3" s="1069"/>
      <c r="I3" s="1069"/>
      <c r="J3" s="1069"/>
      <c r="K3" s="1069"/>
    </row>
    <row r="4" spans="1:11" ht="15.75">
      <c r="A4" s="1069"/>
      <c r="B4" s="1069"/>
      <c r="C4" s="1069"/>
      <c r="D4" s="1069"/>
      <c r="E4" s="1069"/>
      <c r="F4" s="1069"/>
      <c r="G4" s="1069"/>
      <c r="H4" s="1069"/>
      <c r="I4" s="1069"/>
      <c r="J4" s="1069"/>
      <c r="K4" s="1069"/>
    </row>
    <row r="5" spans="1:11" ht="15.75">
      <c r="A5" s="374" t="s">
        <v>454</v>
      </c>
      <c r="B5" s="374"/>
      <c r="C5" s="379"/>
      <c r="D5" s="379"/>
      <c r="E5" s="379"/>
      <c r="F5" s="379"/>
      <c r="G5" s="379"/>
      <c r="H5" s="379"/>
      <c r="I5" s="370"/>
      <c r="J5" s="380"/>
      <c r="K5" s="376" t="s">
        <v>455</v>
      </c>
    </row>
    <row r="6" spans="1:11" ht="30.75" customHeight="1" thickBot="1">
      <c r="A6" s="1131" t="s">
        <v>245</v>
      </c>
      <c r="B6" s="1146" t="s">
        <v>420</v>
      </c>
      <c r="C6" s="1168" t="s">
        <v>446</v>
      </c>
      <c r="D6" s="1168"/>
      <c r="E6" s="1168"/>
      <c r="F6" s="1168"/>
      <c r="G6" s="1168"/>
      <c r="H6" s="1168"/>
      <c r="I6" s="1125" t="s">
        <v>626</v>
      </c>
      <c r="J6" s="1169" t="s">
        <v>440</v>
      </c>
      <c r="K6" s="1138" t="s">
        <v>284</v>
      </c>
    </row>
    <row r="7" spans="1:11" ht="59.25" customHeight="1">
      <c r="A7" s="1132"/>
      <c r="B7" s="1171"/>
      <c r="C7" s="535" t="s">
        <v>629</v>
      </c>
      <c r="D7" s="535" t="s">
        <v>630</v>
      </c>
      <c r="E7" s="535" t="s">
        <v>631</v>
      </c>
      <c r="F7" s="535" t="s">
        <v>632</v>
      </c>
      <c r="G7" s="535" t="s">
        <v>601</v>
      </c>
      <c r="H7" s="532" t="s">
        <v>107</v>
      </c>
      <c r="I7" s="1126"/>
      <c r="J7" s="1190"/>
      <c r="K7" s="1139"/>
    </row>
    <row r="8" spans="1:11" ht="24.75" customHeight="1" thickBot="1">
      <c r="A8" s="1164" t="s">
        <v>273</v>
      </c>
      <c r="B8" s="164" t="s">
        <v>441</v>
      </c>
      <c r="C8" s="308">
        <v>364</v>
      </c>
      <c r="D8" s="175">
        <v>424</v>
      </c>
      <c r="E8" s="175">
        <v>0</v>
      </c>
      <c r="F8" s="175">
        <v>22</v>
      </c>
      <c r="G8" s="404">
        <v>0</v>
      </c>
      <c r="H8" s="313">
        <v>810</v>
      </c>
      <c r="I8" s="391">
        <f>H8/$H$16%</f>
        <v>58.653149891383052</v>
      </c>
      <c r="J8" s="819" t="s">
        <v>443</v>
      </c>
      <c r="K8" s="1188" t="s">
        <v>283</v>
      </c>
    </row>
    <row r="9" spans="1:11" ht="24.75" customHeight="1" thickBot="1">
      <c r="A9" s="1165"/>
      <c r="B9" s="837" t="s">
        <v>442</v>
      </c>
      <c r="C9" s="392">
        <v>191</v>
      </c>
      <c r="D9" s="393">
        <v>50</v>
      </c>
      <c r="E9" s="393">
        <v>64</v>
      </c>
      <c r="F9" s="393">
        <v>7</v>
      </c>
      <c r="G9" s="405">
        <v>0</v>
      </c>
      <c r="H9" s="313">
        <v>312</v>
      </c>
      <c r="I9" s="391">
        <f>H9/$H$17%</f>
        <v>43.333333333333336</v>
      </c>
      <c r="J9" s="820" t="s">
        <v>444</v>
      </c>
      <c r="K9" s="1189"/>
    </row>
    <row r="10" spans="1:11" ht="24.75" customHeight="1" thickBot="1">
      <c r="A10" s="1166" t="s">
        <v>282</v>
      </c>
      <c r="B10" s="838" t="s">
        <v>441</v>
      </c>
      <c r="C10" s="394">
        <v>67</v>
      </c>
      <c r="D10" s="395">
        <v>73</v>
      </c>
      <c r="E10" s="395">
        <v>0</v>
      </c>
      <c r="F10" s="395">
        <v>3</v>
      </c>
      <c r="G10" s="406">
        <v>0</v>
      </c>
      <c r="H10" s="479">
        <v>143</v>
      </c>
      <c r="I10" s="396">
        <f>H10/$H$16%</f>
        <v>10.354815351194786</v>
      </c>
      <c r="J10" s="821" t="s">
        <v>443</v>
      </c>
      <c r="K10" s="1182" t="s">
        <v>281</v>
      </c>
    </row>
    <row r="11" spans="1:11" ht="24.75" customHeight="1" thickBot="1">
      <c r="A11" s="1166"/>
      <c r="B11" s="838" t="s">
        <v>442</v>
      </c>
      <c r="C11" s="394">
        <v>30</v>
      </c>
      <c r="D11" s="395">
        <v>8</v>
      </c>
      <c r="E11" s="395">
        <v>5</v>
      </c>
      <c r="F11" s="395">
        <v>1</v>
      </c>
      <c r="G11" s="406">
        <v>0</v>
      </c>
      <c r="H11" s="479">
        <v>44</v>
      </c>
      <c r="I11" s="396">
        <f>H11/$H$17%</f>
        <v>6.1111111111111107</v>
      </c>
      <c r="J11" s="821" t="s">
        <v>444</v>
      </c>
      <c r="K11" s="1182"/>
    </row>
    <row r="12" spans="1:11" ht="24.75" customHeight="1" thickBot="1">
      <c r="A12" s="1165" t="s">
        <v>271</v>
      </c>
      <c r="B12" s="837" t="s">
        <v>441</v>
      </c>
      <c r="C12" s="392">
        <v>20</v>
      </c>
      <c r="D12" s="393">
        <v>15</v>
      </c>
      <c r="E12" s="393">
        <v>0</v>
      </c>
      <c r="F12" s="393">
        <v>1</v>
      </c>
      <c r="G12" s="405">
        <v>0</v>
      </c>
      <c r="H12" s="313">
        <v>36</v>
      </c>
      <c r="I12" s="391">
        <f>H12/$H$16%</f>
        <v>2.6068066618392467</v>
      </c>
      <c r="J12" s="820" t="s">
        <v>443</v>
      </c>
      <c r="K12" s="1189" t="s">
        <v>280</v>
      </c>
    </row>
    <row r="13" spans="1:11" ht="24.75" customHeight="1" thickBot="1">
      <c r="A13" s="1165"/>
      <c r="B13" s="837" t="s">
        <v>442</v>
      </c>
      <c r="C13" s="392">
        <v>24</v>
      </c>
      <c r="D13" s="393">
        <v>4</v>
      </c>
      <c r="E13" s="393">
        <v>11</v>
      </c>
      <c r="F13" s="393">
        <v>0</v>
      </c>
      <c r="G13" s="405">
        <v>0</v>
      </c>
      <c r="H13" s="313">
        <v>39</v>
      </c>
      <c r="I13" s="391">
        <f>H13/$H$17%</f>
        <v>5.416666666666667</v>
      </c>
      <c r="J13" s="820" t="s">
        <v>444</v>
      </c>
      <c r="K13" s="1189"/>
    </row>
    <row r="14" spans="1:11" ht="24.75" customHeight="1" thickBot="1">
      <c r="A14" s="1166" t="s">
        <v>270</v>
      </c>
      <c r="B14" s="838" t="s">
        <v>441</v>
      </c>
      <c r="C14" s="394">
        <v>163</v>
      </c>
      <c r="D14" s="395">
        <v>214</v>
      </c>
      <c r="E14" s="395">
        <v>0</v>
      </c>
      <c r="F14" s="395">
        <v>15</v>
      </c>
      <c r="G14" s="406">
        <v>0</v>
      </c>
      <c r="H14" s="479">
        <v>392</v>
      </c>
      <c r="I14" s="396">
        <f>H14/$H$16%</f>
        <v>28.38522809558291</v>
      </c>
      <c r="J14" s="821" t="s">
        <v>443</v>
      </c>
      <c r="K14" s="1182" t="s">
        <v>279</v>
      </c>
    </row>
    <row r="15" spans="1:11" ht="24.75" customHeight="1">
      <c r="A15" s="1181"/>
      <c r="B15" s="839" t="s">
        <v>442</v>
      </c>
      <c r="C15" s="408">
        <v>176</v>
      </c>
      <c r="D15" s="409">
        <v>70</v>
      </c>
      <c r="E15" s="409">
        <v>74</v>
      </c>
      <c r="F15" s="409">
        <v>5</v>
      </c>
      <c r="G15" s="410">
        <v>0</v>
      </c>
      <c r="H15" s="480">
        <v>325</v>
      </c>
      <c r="I15" s="411">
        <f>H15/$H$17%</f>
        <v>45.138888888888886</v>
      </c>
      <c r="J15" s="840" t="s">
        <v>444</v>
      </c>
      <c r="K15" s="1183"/>
    </row>
    <row r="16" spans="1:11" ht="18" customHeight="1" thickBot="1">
      <c r="A16" s="1184" t="s">
        <v>187</v>
      </c>
      <c r="B16" s="414" t="s">
        <v>441</v>
      </c>
      <c r="C16" s="415">
        <v>614</v>
      </c>
      <c r="D16" s="415">
        <v>726</v>
      </c>
      <c r="E16" s="415">
        <v>0</v>
      </c>
      <c r="F16" s="415">
        <v>41</v>
      </c>
      <c r="G16" s="415">
        <f t="shared" ref="G16" si="0">G8+G10+G12+G14</f>
        <v>0</v>
      </c>
      <c r="H16" s="445">
        <v>1381</v>
      </c>
      <c r="I16" s="407">
        <f>H16/$H$16%</f>
        <v>100</v>
      </c>
      <c r="J16" s="416" t="s">
        <v>443</v>
      </c>
      <c r="K16" s="1186" t="s">
        <v>17</v>
      </c>
    </row>
    <row r="17" spans="1:11" ht="18" customHeight="1" thickBot="1">
      <c r="A17" s="1185"/>
      <c r="B17" s="417" t="s">
        <v>442</v>
      </c>
      <c r="C17" s="415">
        <v>421</v>
      </c>
      <c r="D17" s="415">
        <v>132</v>
      </c>
      <c r="E17" s="415">
        <v>154</v>
      </c>
      <c r="F17" s="415">
        <v>13</v>
      </c>
      <c r="G17" s="415">
        <f t="shared" ref="G17" si="1">G9+G11+G13+G15</f>
        <v>0</v>
      </c>
      <c r="H17" s="415">
        <v>720</v>
      </c>
      <c r="I17" s="391">
        <f>H17/$H$17%</f>
        <v>100</v>
      </c>
      <c r="J17" s="418" t="s">
        <v>444</v>
      </c>
      <c r="K17" s="1187"/>
    </row>
    <row r="18" spans="1:11" ht="18" customHeight="1" thickBot="1">
      <c r="A18" s="1185"/>
      <c r="B18" s="417" t="s">
        <v>14</v>
      </c>
      <c r="C18" s="415">
        <v>39</v>
      </c>
      <c r="D18" s="419">
        <v>1</v>
      </c>
      <c r="E18" s="419">
        <v>0</v>
      </c>
      <c r="F18" s="419">
        <v>0</v>
      </c>
      <c r="G18" s="413">
        <v>0</v>
      </c>
      <c r="H18" s="413">
        <v>40</v>
      </c>
      <c r="I18" s="391"/>
      <c r="J18" s="418" t="s">
        <v>15</v>
      </c>
      <c r="K18" s="1187"/>
    </row>
    <row r="19" spans="1:11" ht="18" customHeight="1">
      <c r="A19" s="1159"/>
      <c r="B19" s="420" t="s">
        <v>235</v>
      </c>
      <c r="C19" s="302">
        <f>C16+C17+C18</f>
        <v>1074</v>
      </c>
      <c r="D19" s="302">
        <f t="shared" ref="D19:H19" si="2">D16+D17+D18</f>
        <v>859</v>
      </c>
      <c r="E19" s="302">
        <f t="shared" si="2"/>
        <v>154</v>
      </c>
      <c r="F19" s="302">
        <f t="shared" si="2"/>
        <v>54</v>
      </c>
      <c r="G19" s="302">
        <f t="shared" si="2"/>
        <v>0</v>
      </c>
      <c r="H19" s="302">
        <f t="shared" si="2"/>
        <v>2141</v>
      </c>
      <c r="I19" s="397"/>
      <c r="J19" s="421" t="s">
        <v>447</v>
      </c>
      <c r="K19" s="1157"/>
    </row>
    <row r="22" spans="1:11">
      <c r="C22" s="166"/>
      <c r="D22" s="166"/>
      <c r="E22" s="166"/>
      <c r="F22" s="166"/>
      <c r="G22" s="166"/>
      <c r="H22" s="166"/>
    </row>
    <row r="23" spans="1:11">
      <c r="A23" s="1"/>
      <c r="B23" s="1"/>
      <c r="C23" s="1"/>
    </row>
  </sheetData>
  <mergeCells count="20">
    <mergeCell ref="K6:K7"/>
    <mergeCell ref="A1:K1"/>
    <mergeCell ref="A2:K2"/>
    <mergeCell ref="A3:K3"/>
    <mergeCell ref="A4:K4"/>
    <mergeCell ref="A6:A7"/>
    <mergeCell ref="B6:B7"/>
    <mergeCell ref="C6:H6"/>
    <mergeCell ref="I6:I7"/>
    <mergeCell ref="J6:J7"/>
    <mergeCell ref="A14:A15"/>
    <mergeCell ref="K14:K15"/>
    <mergeCell ref="A16:A19"/>
    <mergeCell ref="K16:K19"/>
    <mergeCell ref="A8:A9"/>
    <mergeCell ref="K8:K9"/>
    <mergeCell ref="A10:A11"/>
    <mergeCell ref="K10:K11"/>
    <mergeCell ref="A12:A13"/>
    <mergeCell ref="K12:K13"/>
  </mergeCells>
  <printOptions horizontalCentered="1" verticalCentered="1"/>
  <pageMargins left="0" right="0" top="0" bottom="0" header="0" footer="0"/>
  <pageSetup paperSize="9" scale="86" orientation="landscape" r:id="rId1"/>
  <headerFooter alignWithMargins="0"/>
  <colBreaks count="1" manualBreakCount="1">
    <brk id="11" max="1048575" man="1"/>
  </colBreaks>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K22"/>
  <sheetViews>
    <sheetView rightToLeft="1" view="pageBreakPreview" topLeftCell="A7" zoomScaleNormal="100" zoomScaleSheetLayoutView="100" workbookViewId="0">
      <selection activeCell="G22" sqref="G22"/>
    </sheetView>
  </sheetViews>
  <sheetFormatPr defaultColWidth="9.140625" defaultRowHeight="12.75"/>
  <cols>
    <col min="1" max="1" width="18.42578125" style="1" customWidth="1"/>
    <col min="2" max="7" width="14.140625" style="1" customWidth="1"/>
    <col min="8" max="8" width="13.5703125" style="1" customWidth="1"/>
    <col min="9" max="9" width="22.140625" style="1" customWidth="1"/>
    <col min="10" max="16384" width="9.140625" style="1"/>
  </cols>
  <sheetData>
    <row r="1" spans="1:11" ht="24" customHeight="1">
      <c r="A1" s="1129" t="s">
        <v>322</v>
      </c>
      <c r="B1" s="1129"/>
      <c r="C1" s="1129"/>
      <c r="D1" s="1129"/>
      <c r="E1" s="1129"/>
      <c r="F1" s="1129"/>
      <c r="G1" s="1129"/>
      <c r="H1" s="1129"/>
      <c r="I1" s="1129"/>
    </row>
    <row r="2" spans="1:11" ht="15.75" customHeight="1">
      <c r="A2" s="1100" t="s">
        <v>321</v>
      </c>
      <c r="B2" s="1100"/>
      <c r="C2" s="1100"/>
      <c r="D2" s="1100"/>
      <c r="E2" s="1100"/>
      <c r="F2" s="1100"/>
      <c r="G2" s="1100"/>
      <c r="H2" s="1100"/>
      <c r="I2" s="1100"/>
    </row>
    <row r="3" spans="1:11" ht="15.75" customHeight="1">
      <c r="A3" s="1100">
        <v>2021</v>
      </c>
      <c r="B3" s="1100"/>
      <c r="C3" s="1100"/>
      <c r="D3" s="1100"/>
      <c r="E3" s="1100"/>
      <c r="F3" s="1100"/>
      <c r="G3" s="1100"/>
      <c r="H3" s="1100"/>
      <c r="I3" s="1100"/>
    </row>
    <row r="4" spans="1:11" ht="18.75" customHeight="1">
      <c r="A4" s="1100" t="s">
        <v>52</v>
      </c>
      <c r="B4" s="1100"/>
      <c r="C4" s="1100"/>
      <c r="D4" s="1100"/>
      <c r="E4" s="1100"/>
      <c r="F4" s="1100"/>
      <c r="G4" s="1100"/>
      <c r="H4" s="1100"/>
      <c r="I4" s="1100"/>
    </row>
    <row r="5" spans="1:11" ht="18.75" customHeight="1">
      <c r="A5" s="373"/>
      <c r="B5" s="373"/>
      <c r="C5" s="373"/>
      <c r="D5" s="373"/>
      <c r="E5" s="373"/>
      <c r="F5" s="400"/>
      <c r="G5" s="373"/>
      <c r="H5" s="373"/>
      <c r="I5" s="373"/>
    </row>
    <row r="6" spans="1:11" s="29" customFormat="1" ht="16.5">
      <c r="A6" s="363" t="s">
        <v>491</v>
      </c>
      <c r="B6" s="364"/>
      <c r="C6" s="365"/>
      <c r="D6" s="365"/>
      <c r="E6" s="365"/>
      <c r="F6" s="365"/>
      <c r="G6" s="370"/>
      <c r="H6" s="370"/>
      <c r="I6" s="370" t="s">
        <v>492</v>
      </c>
    </row>
    <row r="7" spans="1:11" ht="27.75" customHeight="1" thickBot="1">
      <c r="A7" s="1176" t="s">
        <v>318</v>
      </c>
      <c r="B7" s="1174" t="s">
        <v>300</v>
      </c>
      <c r="C7" s="1174"/>
      <c r="D7" s="1174"/>
      <c r="E7" s="1174"/>
      <c r="F7" s="1174"/>
      <c r="G7" s="1174"/>
      <c r="H7" s="1125" t="s">
        <v>627</v>
      </c>
      <c r="I7" s="1127" t="s">
        <v>317</v>
      </c>
      <c r="K7" s="11"/>
    </row>
    <row r="8" spans="1:11" ht="60.75" customHeight="1">
      <c r="A8" s="1179"/>
      <c r="B8" s="535" t="s">
        <v>629</v>
      </c>
      <c r="C8" s="535" t="s">
        <v>630</v>
      </c>
      <c r="D8" s="535" t="s">
        <v>631</v>
      </c>
      <c r="E8" s="535" t="s">
        <v>632</v>
      </c>
      <c r="F8" s="535" t="s">
        <v>601</v>
      </c>
      <c r="G8" s="532" t="s">
        <v>107</v>
      </c>
      <c r="H8" s="1180"/>
      <c r="I8" s="1178"/>
      <c r="K8" s="11"/>
    </row>
    <row r="9" spans="1:11" ht="16.5" thickBot="1">
      <c r="A9" s="21" t="s">
        <v>316</v>
      </c>
      <c r="B9" s="198">
        <v>227</v>
      </c>
      <c r="C9" s="33">
        <v>17</v>
      </c>
      <c r="D9" s="33">
        <v>25</v>
      </c>
      <c r="E9" s="33">
        <v>2</v>
      </c>
      <c r="F9" s="199">
        <v>0</v>
      </c>
      <c r="G9" s="102">
        <v>271</v>
      </c>
      <c r="H9" s="51">
        <f>G9/$G$21%</f>
        <v>20.468277945619334</v>
      </c>
      <c r="I9" s="828" t="s">
        <v>315</v>
      </c>
      <c r="K9" s="11"/>
    </row>
    <row r="10" spans="1:11" ht="16.5" thickBot="1">
      <c r="A10" s="18">
        <v>-1</v>
      </c>
      <c r="B10" s="198">
        <v>337</v>
      </c>
      <c r="C10" s="33">
        <v>231</v>
      </c>
      <c r="D10" s="33">
        <v>25</v>
      </c>
      <c r="E10" s="33">
        <v>14</v>
      </c>
      <c r="F10" s="199">
        <v>0</v>
      </c>
      <c r="G10" s="102">
        <v>607</v>
      </c>
      <c r="H10" s="50">
        <f t="shared" ref="H10:H20" si="0">G10/$G$21%</f>
        <v>45.84592145015106</v>
      </c>
      <c r="I10" s="829">
        <v>-1</v>
      </c>
      <c r="K10" s="11"/>
    </row>
    <row r="11" spans="1:11" ht="16.5" thickBot="1">
      <c r="A11" s="15">
        <v>1</v>
      </c>
      <c r="B11" s="198">
        <v>5</v>
      </c>
      <c r="C11" s="33">
        <v>52</v>
      </c>
      <c r="D11" s="33">
        <v>5</v>
      </c>
      <c r="E11" s="33">
        <v>1</v>
      </c>
      <c r="F11" s="199">
        <v>0</v>
      </c>
      <c r="G11" s="102">
        <v>63</v>
      </c>
      <c r="H11" s="49">
        <f t="shared" si="0"/>
        <v>4.7583081570996981</v>
      </c>
      <c r="I11" s="830">
        <v>1</v>
      </c>
      <c r="K11" s="11"/>
    </row>
    <row r="12" spans="1:11" ht="16.5" thickBot="1">
      <c r="A12" s="18">
        <v>2</v>
      </c>
      <c r="B12" s="198">
        <v>11</v>
      </c>
      <c r="C12" s="33">
        <v>25</v>
      </c>
      <c r="D12" s="33">
        <v>1</v>
      </c>
      <c r="E12" s="33">
        <v>1</v>
      </c>
      <c r="F12" s="199">
        <v>0</v>
      </c>
      <c r="G12" s="102">
        <v>38</v>
      </c>
      <c r="H12" s="50">
        <f t="shared" si="0"/>
        <v>2.8700906344410875</v>
      </c>
      <c r="I12" s="829">
        <v>2</v>
      </c>
      <c r="K12" s="11"/>
    </row>
    <row r="13" spans="1:11" ht="16.5" thickBot="1">
      <c r="A13" s="15">
        <v>3</v>
      </c>
      <c r="B13" s="198">
        <v>5</v>
      </c>
      <c r="C13" s="33">
        <v>24</v>
      </c>
      <c r="D13" s="33">
        <v>2</v>
      </c>
      <c r="E13" s="33">
        <v>1</v>
      </c>
      <c r="F13" s="199">
        <v>0</v>
      </c>
      <c r="G13" s="102">
        <v>32</v>
      </c>
      <c r="H13" s="49">
        <f t="shared" si="0"/>
        <v>2.416918429003021</v>
      </c>
      <c r="I13" s="830">
        <v>3</v>
      </c>
      <c r="K13" s="11"/>
    </row>
    <row r="14" spans="1:11" ht="16.5" thickBot="1">
      <c r="A14" s="18">
        <v>4</v>
      </c>
      <c r="B14" s="198">
        <v>10</v>
      </c>
      <c r="C14" s="33">
        <v>27</v>
      </c>
      <c r="D14" s="33">
        <v>1</v>
      </c>
      <c r="E14" s="33">
        <v>0</v>
      </c>
      <c r="F14" s="199">
        <v>0</v>
      </c>
      <c r="G14" s="102">
        <v>38</v>
      </c>
      <c r="H14" s="50">
        <f t="shared" si="0"/>
        <v>2.8700906344410875</v>
      </c>
      <c r="I14" s="829">
        <v>4</v>
      </c>
      <c r="K14" s="11"/>
    </row>
    <row r="15" spans="1:11" ht="16.5" thickBot="1">
      <c r="A15" s="15" t="s">
        <v>1066</v>
      </c>
      <c r="B15" s="198">
        <v>20</v>
      </c>
      <c r="C15" s="33">
        <v>79</v>
      </c>
      <c r="D15" s="33">
        <v>4</v>
      </c>
      <c r="E15" s="33">
        <v>2</v>
      </c>
      <c r="F15" s="199">
        <v>0</v>
      </c>
      <c r="G15" s="102">
        <v>105</v>
      </c>
      <c r="H15" s="49">
        <f t="shared" si="0"/>
        <v>7.9305135951661629</v>
      </c>
      <c r="I15" s="830" t="s">
        <v>314</v>
      </c>
      <c r="K15" s="11"/>
    </row>
    <row r="16" spans="1:11" ht="16.5" thickBot="1">
      <c r="A16" s="18" t="s">
        <v>1067</v>
      </c>
      <c r="B16" s="198">
        <v>17</v>
      </c>
      <c r="C16" s="33">
        <v>34</v>
      </c>
      <c r="D16" s="33">
        <v>1</v>
      </c>
      <c r="E16" s="33">
        <v>5</v>
      </c>
      <c r="F16" s="199">
        <v>0</v>
      </c>
      <c r="G16" s="102">
        <v>57</v>
      </c>
      <c r="H16" s="50">
        <f t="shared" si="0"/>
        <v>4.3051359516616312</v>
      </c>
      <c r="I16" s="829" t="s">
        <v>313</v>
      </c>
      <c r="K16" s="11"/>
    </row>
    <row r="17" spans="1:11" ht="16.5" thickBot="1">
      <c r="A17" s="15" t="s">
        <v>1068</v>
      </c>
      <c r="B17" s="198">
        <v>10</v>
      </c>
      <c r="C17" s="33">
        <v>22</v>
      </c>
      <c r="D17" s="33">
        <v>1</v>
      </c>
      <c r="E17" s="33">
        <v>2</v>
      </c>
      <c r="F17" s="199">
        <v>0</v>
      </c>
      <c r="G17" s="102">
        <v>35</v>
      </c>
      <c r="H17" s="49">
        <f t="shared" si="0"/>
        <v>2.6435045317220545</v>
      </c>
      <c r="I17" s="830" t="s">
        <v>133</v>
      </c>
      <c r="K17" s="11"/>
    </row>
    <row r="18" spans="1:11" ht="16.5" thickBot="1">
      <c r="A18" s="18" t="s">
        <v>1053</v>
      </c>
      <c r="B18" s="198">
        <v>8</v>
      </c>
      <c r="C18" s="33">
        <v>16</v>
      </c>
      <c r="D18" s="33">
        <v>2</v>
      </c>
      <c r="E18" s="33">
        <v>3</v>
      </c>
      <c r="F18" s="199">
        <v>0</v>
      </c>
      <c r="G18" s="102">
        <v>29</v>
      </c>
      <c r="H18" s="50">
        <f t="shared" si="0"/>
        <v>2.190332326283988</v>
      </c>
      <c r="I18" s="829" t="s">
        <v>127</v>
      </c>
      <c r="K18" s="11"/>
    </row>
    <row r="19" spans="1:11" ht="16.5" thickBot="1">
      <c r="A19" s="15" t="s">
        <v>430</v>
      </c>
      <c r="B19" s="198">
        <v>15</v>
      </c>
      <c r="C19" s="33">
        <v>24</v>
      </c>
      <c r="D19" s="33">
        <v>1</v>
      </c>
      <c r="E19" s="33">
        <v>2</v>
      </c>
      <c r="F19" s="199">
        <v>0</v>
      </c>
      <c r="G19" s="102">
        <v>42</v>
      </c>
      <c r="H19" s="49">
        <f t="shared" si="0"/>
        <v>3.1722054380664653</v>
      </c>
      <c r="I19" s="830" t="s">
        <v>430</v>
      </c>
    </row>
    <row r="20" spans="1:11" ht="16.5" thickBot="1">
      <c r="A20" s="70" t="s">
        <v>14</v>
      </c>
      <c r="B20" s="200">
        <v>1</v>
      </c>
      <c r="C20" s="201">
        <v>5</v>
      </c>
      <c r="D20" s="201">
        <v>1</v>
      </c>
      <c r="E20" s="201">
        <v>0</v>
      </c>
      <c r="F20" s="202">
        <v>0</v>
      </c>
      <c r="G20" s="102">
        <v>7</v>
      </c>
      <c r="H20" s="48">
        <f t="shared" si="0"/>
        <v>0.52870090634441091</v>
      </c>
      <c r="I20" s="831" t="s">
        <v>15</v>
      </c>
    </row>
    <row r="21" spans="1:11" ht="20.100000000000001" customHeight="1" thickBot="1">
      <c r="A21" s="28" t="s">
        <v>16</v>
      </c>
      <c r="B21" s="224">
        <f>SUM(B9:B20)</f>
        <v>666</v>
      </c>
      <c r="C21" s="224">
        <f t="shared" ref="C21:G21" si="1">SUM(C9:C20)</f>
        <v>556</v>
      </c>
      <c r="D21" s="224">
        <f t="shared" si="1"/>
        <v>69</v>
      </c>
      <c r="E21" s="224">
        <f t="shared" si="1"/>
        <v>33</v>
      </c>
      <c r="F21" s="224">
        <f t="shared" si="1"/>
        <v>0</v>
      </c>
      <c r="G21" s="224">
        <f t="shared" si="1"/>
        <v>1324</v>
      </c>
      <c r="H21" s="225">
        <f t="shared" ref="H21" si="2">SUM(H9:H20)</f>
        <v>100</v>
      </c>
      <c r="I21" s="27" t="s">
        <v>55</v>
      </c>
    </row>
    <row r="22" spans="1:11" ht="20.100000000000001" customHeight="1">
      <c r="A22" s="13" t="s">
        <v>312</v>
      </c>
      <c r="B22" s="514">
        <f>B21/$G$21%</f>
        <v>50.302114803625379</v>
      </c>
      <c r="C22" s="514">
        <f t="shared" ref="C22:G22" si="3">C21/$G$21%</f>
        <v>41.993957703927492</v>
      </c>
      <c r="D22" s="514">
        <f t="shared" si="3"/>
        <v>5.2114803625377641</v>
      </c>
      <c r="E22" s="514">
        <f t="shared" si="3"/>
        <v>2.4924471299093653</v>
      </c>
      <c r="F22" s="514">
        <f t="shared" si="3"/>
        <v>0</v>
      </c>
      <c r="G22" s="514">
        <f t="shared" si="3"/>
        <v>100</v>
      </c>
      <c r="H22" s="1122" t="s">
        <v>311</v>
      </c>
      <c r="I22" s="1123"/>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I22"/>
  <sheetViews>
    <sheetView rightToLeft="1" view="pageBreakPreview" topLeftCell="A7" zoomScaleNormal="100" zoomScaleSheetLayoutView="100" workbookViewId="0">
      <selection activeCell="G22" sqref="G22"/>
    </sheetView>
  </sheetViews>
  <sheetFormatPr defaultColWidth="9.140625" defaultRowHeight="12.75"/>
  <cols>
    <col min="1" max="1" width="18.42578125" style="1" customWidth="1"/>
    <col min="2" max="7" width="14.140625" style="1" customWidth="1"/>
    <col min="8" max="8" width="14.28515625" style="1" customWidth="1"/>
    <col min="9" max="9" width="22.140625" style="1" customWidth="1"/>
    <col min="10" max="16384" width="9.140625" style="1"/>
  </cols>
  <sheetData>
    <row r="1" spans="1:9" ht="24" customHeight="1">
      <c r="A1" s="1129" t="s">
        <v>322</v>
      </c>
      <c r="B1" s="1129"/>
      <c r="C1" s="1129"/>
      <c r="D1" s="1129"/>
      <c r="E1" s="1129"/>
      <c r="F1" s="1129"/>
      <c r="G1" s="1129"/>
      <c r="H1" s="1129"/>
      <c r="I1" s="1129"/>
    </row>
    <row r="2" spans="1:9" ht="15.75" customHeight="1">
      <c r="A2" s="1100" t="s">
        <v>321</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51</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495</v>
      </c>
      <c r="B6" s="364"/>
      <c r="C6" s="364"/>
      <c r="D6" s="364"/>
      <c r="E6" s="364"/>
      <c r="F6" s="364"/>
      <c r="G6" s="364"/>
      <c r="H6" s="364"/>
      <c r="I6" s="370" t="s">
        <v>496</v>
      </c>
    </row>
    <row r="7" spans="1:9" ht="27.75" customHeight="1" thickBot="1">
      <c r="A7" s="1176" t="s">
        <v>318</v>
      </c>
      <c r="B7" s="1174" t="s">
        <v>300</v>
      </c>
      <c r="C7" s="1174"/>
      <c r="D7" s="1174"/>
      <c r="E7" s="1174"/>
      <c r="F7" s="1174"/>
      <c r="G7" s="1174"/>
      <c r="H7" s="1125" t="s">
        <v>628</v>
      </c>
      <c r="I7" s="1127" t="s">
        <v>317</v>
      </c>
    </row>
    <row r="8" spans="1:9" ht="60.75" customHeight="1">
      <c r="A8" s="1179"/>
      <c r="B8" s="535" t="s">
        <v>629</v>
      </c>
      <c r="C8" s="535" t="s">
        <v>630</v>
      </c>
      <c r="D8" s="535" t="s">
        <v>631</v>
      </c>
      <c r="E8" s="535" t="s">
        <v>632</v>
      </c>
      <c r="F8" s="535" t="s">
        <v>601</v>
      </c>
      <c r="G8" s="532" t="s">
        <v>107</v>
      </c>
      <c r="H8" s="1180"/>
      <c r="I8" s="1178"/>
    </row>
    <row r="9" spans="1:9" ht="16.5" customHeight="1" thickBot="1">
      <c r="A9" s="21" t="s">
        <v>316</v>
      </c>
      <c r="B9" s="198">
        <v>52</v>
      </c>
      <c r="C9" s="33">
        <v>2</v>
      </c>
      <c r="D9" s="33">
        <v>21</v>
      </c>
      <c r="E9" s="33">
        <v>1</v>
      </c>
      <c r="F9" s="199">
        <v>0</v>
      </c>
      <c r="G9" s="102">
        <v>76</v>
      </c>
      <c r="H9" s="51">
        <f>G9/$G$21%</f>
        <v>9.3023255813953494</v>
      </c>
      <c r="I9" s="828" t="s">
        <v>315</v>
      </c>
    </row>
    <row r="10" spans="1:9" ht="16.5" thickBot="1">
      <c r="A10" s="18">
        <v>-1</v>
      </c>
      <c r="B10" s="198">
        <v>248</v>
      </c>
      <c r="C10" s="33">
        <v>142</v>
      </c>
      <c r="D10" s="33">
        <v>35</v>
      </c>
      <c r="E10" s="33">
        <v>5</v>
      </c>
      <c r="F10" s="199">
        <v>0</v>
      </c>
      <c r="G10" s="102">
        <v>430</v>
      </c>
      <c r="H10" s="50">
        <f t="shared" ref="H10:H20" si="0">G10/$G$21%</f>
        <v>52.631578947368425</v>
      </c>
      <c r="I10" s="829">
        <v>-1</v>
      </c>
    </row>
    <row r="11" spans="1:9" ht="14.25" customHeight="1" thickBot="1">
      <c r="A11" s="15">
        <v>1</v>
      </c>
      <c r="B11" s="198">
        <v>4</v>
      </c>
      <c r="C11" s="33">
        <v>20</v>
      </c>
      <c r="D11" s="33">
        <v>4</v>
      </c>
      <c r="E11" s="33">
        <v>2</v>
      </c>
      <c r="F11" s="199">
        <v>0</v>
      </c>
      <c r="G11" s="102">
        <v>30</v>
      </c>
      <c r="H11" s="49">
        <f t="shared" si="0"/>
        <v>3.6719706242350063</v>
      </c>
      <c r="I11" s="830">
        <v>1</v>
      </c>
    </row>
    <row r="12" spans="1:9" ht="16.5" thickBot="1">
      <c r="A12" s="18">
        <v>2</v>
      </c>
      <c r="B12" s="198">
        <v>5</v>
      </c>
      <c r="C12" s="33">
        <v>13</v>
      </c>
      <c r="D12" s="33">
        <v>0</v>
      </c>
      <c r="E12" s="33">
        <v>1</v>
      </c>
      <c r="F12" s="199">
        <v>0</v>
      </c>
      <c r="G12" s="102">
        <v>19</v>
      </c>
      <c r="H12" s="50">
        <f t="shared" si="0"/>
        <v>2.3255813953488373</v>
      </c>
      <c r="I12" s="829">
        <v>2</v>
      </c>
    </row>
    <row r="13" spans="1:9" ht="16.5" thickBot="1">
      <c r="A13" s="15">
        <v>3</v>
      </c>
      <c r="B13" s="198">
        <v>12</v>
      </c>
      <c r="C13" s="33">
        <v>18</v>
      </c>
      <c r="D13" s="33">
        <v>2</v>
      </c>
      <c r="E13" s="33">
        <v>2</v>
      </c>
      <c r="F13" s="199">
        <v>0</v>
      </c>
      <c r="G13" s="102">
        <v>34</v>
      </c>
      <c r="H13" s="49">
        <f t="shared" si="0"/>
        <v>4.1615667074663403</v>
      </c>
      <c r="I13" s="830">
        <v>3</v>
      </c>
    </row>
    <row r="14" spans="1:9" ht="16.5" thickBot="1">
      <c r="A14" s="18">
        <v>4</v>
      </c>
      <c r="B14" s="198">
        <v>6</v>
      </c>
      <c r="C14" s="33">
        <v>12</v>
      </c>
      <c r="D14" s="33">
        <v>3</v>
      </c>
      <c r="E14" s="33">
        <v>2</v>
      </c>
      <c r="F14" s="199">
        <v>0</v>
      </c>
      <c r="G14" s="102">
        <v>23</v>
      </c>
      <c r="H14" s="50">
        <f t="shared" si="0"/>
        <v>2.8151774785801713</v>
      </c>
      <c r="I14" s="829">
        <v>4</v>
      </c>
    </row>
    <row r="15" spans="1:9" ht="16.5" thickBot="1">
      <c r="A15" s="15" t="s">
        <v>1066</v>
      </c>
      <c r="B15" s="198">
        <v>30</v>
      </c>
      <c r="C15" s="33">
        <v>49</v>
      </c>
      <c r="D15" s="33">
        <v>7</v>
      </c>
      <c r="E15" s="33">
        <v>2</v>
      </c>
      <c r="F15" s="199">
        <v>0</v>
      </c>
      <c r="G15" s="102">
        <v>88</v>
      </c>
      <c r="H15" s="49">
        <f t="shared" si="0"/>
        <v>10.771113831089352</v>
      </c>
      <c r="I15" s="830" t="s">
        <v>314</v>
      </c>
    </row>
    <row r="16" spans="1:9" ht="16.5" thickBot="1">
      <c r="A16" s="18" t="s">
        <v>1067</v>
      </c>
      <c r="B16" s="198">
        <v>21</v>
      </c>
      <c r="C16" s="33">
        <v>26</v>
      </c>
      <c r="D16" s="33">
        <v>6</v>
      </c>
      <c r="E16" s="33">
        <v>3</v>
      </c>
      <c r="F16" s="199">
        <v>0</v>
      </c>
      <c r="G16" s="102">
        <v>56</v>
      </c>
      <c r="H16" s="50">
        <f t="shared" si="0"/>
        <v>6.8543451652386782</v>
      </c>
      <c r="I16" s="829" t="s">
        <v>313</v>
      </c>
    </row>
    <row r="17" spans="1:9" ht="16.5" thickBot="1">
      <c r="A17" s="15" t="s">
        <v>1068</v>
      </c>
      <c r="B17" s="198">
        <v>10</v>
      </c>
      <c r="C17" s="33">
        <v>11</v>
      </c>
      <c r="D17" s="33">
        <v>3</v>
      </c>
      <c r="E17" s="33">
        <v>0</v>
      </c>
      <c r="F17" s="199">
        <v>0</v>
      </c>
      <c r="G17" s="102">
        <v>24</v>
      </c>
      <c r="H17" s="49">
        <f t="shared" si="0"/>
        <v>2.9375764993880051</v>
      </c>
      <c r="I17" s="830" t="s">
        <v>133</v>
      </c>
    </row>
    <row r="18" spans="1:9" ht="16.5" thickBot="1">
      <c r="A18" s="18" t="s">
        <v>1053</v>
      </c>
      <c r="B18" s="198">
        <v>6</v>
      </c>
      <c r="C18" s="33">
        <v>4</v>
      </c>
      <c r="D18" s="33">
        <v>1</v>
      </c>
      <c r="E18" s="33">
        <v>0</v>
      </c>
      <c r="F18" s="199">
        <v>0</v>
      </c>
      <c r="G18" s="102">
        <v>11</v>
      </c>
      <c r="H18" s="50">
        <f t="shared" si="0"/>
        <v>1.346389228886169</v>
      </c>
      <c r="I18" s="829" t="s">
        <v>127</v>
      </c>
    </row>
    <row r="19" spans="1:9" ht="16.5" thickBot="1">
      <c r="A19" s="15" t="s">
        <v>430</v>
      </c>
      <c r="B19" s="198">
        <v>12</v>
      </c>
      <c r="C19" s="33">
        <v>6</v>
      </c>
      <c r="D19" s="33">
        <v>3</v>
      </c>
      <c r="E19" s="33">
        <v>3</v>
      </c>
      <c r="F19" s="199">
        <v>0</v>
      </c>
      <c r="G19" s="102">
        <v>24</v>
      </c>
      <c r="H19" s="49">
        <f t="shared" si="0"/>
        <v>2.9375764993880051</v>
      </c>
      <c r="I19" s="830" t="s">
        <v>430</v>
      </c>
    </row>
    <row r="20" spans="1:9" ht="16.5" thickBot="1">
      <c r="A20" s="70" t="s">
        <v>14</v>
      </c>
      <c r="B20" s="200">
        <v>2</v>
      </c>
      <c r="C20" s="201">
        <v>0</v>
      </c>
      <c r="D20" s="201">
        <v>0</v>
      </c>
      <c r="E20" s="201">
        <v>0</v>
      </c>
      <c r="F20" s="202">
        <v>0</v>
      </c>
      <c r="G20" s="102">
        <v>2</v>
      </c>
      <c r="H20" s="48">
        <f t="shared" si="0"/>
        <v>0.24479804161566707</v>
      </c>
      <c r="I20" s="831" t="s">
        <v>15</v>
      </c>
    </row>
    <row r="21" spans="1:9" ht="20.100000000000001" customHeight="1" thickBot="1">
      <c r="A21" s="28" t="s">
        <v>16</v>
      </c>
      <c r="B21" s="224">
        <f>SUM(B9:B20)</f>
        <v>408</v>
      </c>
      <c r="C21" s="224">
        <f t="shared" ref="C21:G21" si="1">SUM(C9:C20)</f>
        <v>303</v>
      </c>
      <c r="D21" s="224">
        <f t="shared" si="1"/>
        <v>85</v>
      </c>
      <c r="E21" s="224">
        <f t="shared" si="1"/>
        <v>21</v>
      </c>
      <c r="F21" s="224">
        <f>SUM(F9:F20)</f>
        <v>0</v>
      </c>
      <c r="G21" s="224">
        <f t="shared" si="1"/>
        <v>817</v>
      </c>
      <c r="H21" s="225">
        <f t="shared" ref="H21" si="2">SUM(H9:H20)</f>
        <v>99.999999999999986</v>
      </c>
      <c r="I21" s="27" t="s">
        <v>55</v>
      </c>
    </row>
    <row r="22" spans="1:9" ht="20.100000000000001" customHeight="1">
      <c r="A22" s="13" t="s">
        <v>312</v>
      </c>
      <c r="B22" s="514">
        <f>B21/$G$21%</f>
        <v>49.938800489596083</v>
      </c>
      <c r="C22" s="514">
        <f t="shared" ref="C22:G22" si="3">C21/$G$21%</f>
        <v>37.086903304773564</v>
      </c>
      <c r="D22" s="514">
        <f t="shared" si="3"/>
        <v>10.403916768665852</v>
      </c>
      <c r="E22" s="514">
        <f t="shared" si="3"/>
        <v>2.5703794369645041</v>
      </c>
      <c r="F22" s="514">
        <f t="shared" si="3"/>
        <v>0</v>
      </c>
      <c r="G22" s="514">
        <f t="shared" si="3"/>
        <v>100</v>
      </c>
      <c r="H22" s="1122" t="s">
        <v>311</v>
      </c>
      <c r="I22" s="1123"/>
    </row>
  </sheetData>
  <mergeCells count="9">
    <mergeCell ref="H22:I22"/>
    <mergeCell ref="A1:I1"/>
    <mergeCell ref="A2:I2"/>
    <mergeCell ref="A3:I3"/>
    <mergeCell ref="A7:A8"/>
    <mergeCell ref="B7:G7"/>
    <mergeCell ref="H7:H8"/>
    <mergeCell ref="I7:I8"/>
    <mergeCell ref="A4:I4"/>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I22"/>
  <sheetViews>
    <sheetView rightToLeft="1" view="pageBreakPreview" topLeftCell="A7" zoomScaleNormal="100" zoomScaleSheetLayoutView="100" workbookViewId="0">
      <selection activeCell="H27" sqref="H27"/>
    </sheetView>
  </sheetViews>
  <sheetFormatPr defaultColWidth="9.140625" defaultRowHeight="12.75"/>
  <cols>
    <col min="1" max="1" width="18.42578125" style="1" customWidth="1"/>
    <col min="2" max="7" width="14.140625" style="1" customWidth="1"/>
    <col min="8" max="8" width="13.5703125" style="1" customWidth="1"/>
    <col min="9" max="9" width="22.140625" style="1" customWidth="1"/>
    <col min="10" max="16384" width="9.140625" style="1"/>
  </cols>
  <sheetData>
    <row r="1" spans="1:9" ht="24" customHeight="1">
      <c r="A1" s="1129" t="s">
        <v>322</v>
      </c>
      <c r="B1" s="1129"/>
      <c r="C1" s="1129"/>
      <c r="D1" s="1129"/>
      <c r="E1" s="1129"/>
      <c r="F1" s="1129"/>
      <c r="G1" s="1129"/>
      <c r="H1" s="1129"/>
      <c r="I1" s="1129"/>
    </row>
    <row r="2" spans="1:9" ht="15.75" customHeight="1">
      <c r="A2" s="1100" t="s">
        <v>321</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1</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493</v>
      </c>
      <c r="B6" s="364"/>
      <c r="C6" s="365"/>
      <c r="D6" s="365"/>
      <c r="E6" s="365"/>
      <c r="F6" s="365"/>
      <c r="G6" s="370"/>
      <c r="H6" s="370"/>
      <c r="I6" s="370" t="s">
        <v>494</v>
      </c>
    </row>
    <row r="7" spans="1:9" ht="27.75" customHeight="1" thickBot="1">
      <c r="A7" s="1176" t="s">
        <v>318</v>
      </c>
      <c r="B7" s="1174" t="s">
        <v>300</v>
      </c>
      <c r="C7" s="1174"/>
      <c r="D7" s="1174"/>
      <c r="E7" s="1174"/>
      <c r="F7" s="1174"/>
      <c r="G7" s="1174"/>
      <c r="H7" s="1125" t="s">
        <v>628</v>
      </c>
      <c r="I7" s="1127" t="s">
        <v>317</v>
      </c>
    </row>
    <row r="8" spans="1:9" ht="60.75" customHeight="1">
      <c r="A8" s="1177"/>
      <c r="B8" s="535" t="s">
        <v>629</v>
      </c>
      <c r="C8" s="535" t="s">
        <v>630</v>
      </c>
      <c r="D8" s="535" t="s">
        <v>631</v>
      </c>
      <c r="E8" s="535" t="s">
        <v>632</v>
      </c>
      <c r="F8" s="535" t="s">
        <v>601</v>
      </c>
      <c r="G8" s="322" t="s">
        <v>107</v>
      </c>
      <c r="H8" s="1126"/>
      <c r="I8" s="1128"/>
    </row>
    <row r="9" spans="1:9" ht="16.5" thickBot="1">
      <c r="A9" s="741" t="s">
        <v>316</v>
      </c>
      <c r="B9" s="198">
        <v>279</v>
      </c>
      <c r="C9" s="33">
        <v>19</v>
      </c>
      <c r="D9" s="33">
        <v>46</v>
      </c>
      <c r="E9" s="33">
        <v>3</v>
      </c>
      <c r="F9" s="199">
        <v>0</v>
      </c>
      <c r="G9" s="102">
        <v>347</v>
      </c>
      <c r="H9" s="219">
        <f t="shared" ref="H9:H20" si="0">G9/$G$21%</f>
        <v>16.207379729098552</v>
      </c>
      <c r="I9" s="833" t="s">
        <v>315</v>
      </c>
    </row>
    <row r="10" spans="1:9" ht="16.5" thickBot="1">
      <c r="A10" s="18">
        <v>-1</v>
      </c>
      <c r="B10" s="198">
        <v>585</v>
      </c>
      <c r="C10" s="33">
        <v>373</v>
      </c>
      <c r="D10" s="33">
        <v>60</v>
      </c>
      <c r="E10" s="33">
        <v>19</v>
      </c>
      <c r="F10" s="199">
        <v>0</v>
      </c>
      <c r="G10" s="102">
        <v>1037</v>
      </c>
      <c r="H10" s="220">
        <f t="shared" si="0"/>
        <v>48.435310602522186</v>
      </c>
      <c r="I10" s="829">
        <v>-1</v>
      </c>
    </row>
    <row r="11" spans="1:9" ht="16.5" thickBot="1">
      <c r="A11" s="15">
        <v>1</v>
      </c>
      <c r="B11" s="198">
        <v>9</v>
      </c>
      <c r="C11" s="33">
        <v>72</v>
      </c>
      <c r="D11" s="33">
        <v>9</v>
      </c>
      <c r="E11" s="33">
        <v>3</v>
      </c>
      <c r="F11" s="199">
        <v>0</v>
      </c>
      <c r="G11" s="102">
        <v>93</v>
      </c>
      <c r="H11" s="221">
        <f t="shared" si="0"/>
        <v>4.3437645959831857</v>
      </c>
      <c r="I11" s="830">
        <v>1</v>
      </c>
    </row>
    <row r="12" spans="1:9" ht="16.5" thickBot="1">
      <c r="A12" s="18">
        <v>2</v>
      </c>
      <c r="B12" s="198">
        <v>16</v>
      </c>
      <c r="C12" s="33">
        <v>38</v>
      </c>
      <c r="D12" s="33">
        <v>1</v>
      </c>
      <c r="E12" s="33">
        <v>2</v>
      </c>
      <c r="F12" s="199">
        <v>0</v>
      </c>
      <c r="G12" s="102">
        <v>57</v>
      </c>
      <c r="H12" s="220">
        <f t="shared" si="0"/>
        <v>2.6623073330219524</v>
      </c>
      <c r="I12" s="829">
        <v>2</v>
      </c>
    </row>
    <row r="13" spans="1:9" ht="16.5" thickBot="1">
      <c r="A13" s="15">
        <v>3</v>
      </c>
      <c r="B13" s="198">
        <v>17</v>
      </c>
      <c r="C13" s="33">
        <v>42</v>
      </c>
      <c r="D13" s="33">
        <v>4</v>
      </c>
      <c r="E13" s="33">
        <v>3</v>
      </c>
      <c r="F13" s="199">
        <v>0</v>
      </c>
      <c r="G13" s="102">
        <v>66</v>
      </c>
      <c r="H13" s="221">
        <f t="shared" si="0"/>
        <v>3.0826716487622607</v>
      </c>
      <c r="I13" s="830">
        <v>3</v>
      </c>
    </row>
    <row r="14" spans="1:9" ht="16.5" thickBot="1">
      <c r="A14" s="18">
        <v>4</v>
      </c>
      <c r="B14" s="198">
        <v>16</v>
      </c>
      <c r="C14" s="33">
        <v>39</v>
      </c>
      <c r="D14" s="33">
        <v>4</v>
      </c>
      <c r="E14" s="33">
        <v>2</v>
      </c>
      <c r="F14" s="199">
        <v>0</v>
      </c>
      <c r="G14" s="102">
        <v>61</v>
      </c>
      <c r="H14" s="220">
        <f t="shared" si="0"/>
        <v>2.8491359177954227</v>
      </c>
      <c r="I14" s="829">
        <v>4</v>
      </c>
    </row>
    <row r="15" spans="1:9" ht="16.5" thickBot="1">
      <c r="A15" s="15" t="s">
        <v>1066</v>
      </c>
      <c r="B15" s="198">
        <v>50</v>
      </c>
      <c r="C15" s="33">
        <v>128</v>
      </c>
      <c r="D15" s="33">
        <v>11</v>
      </c>
      <c r="E15" s="33">
        <v>4</v>
      </c>
      <c r="F15" s="199">
        <v>0</v>
      </c>
      <c r="G15" s="102">
        <v>193</v>
      </c>
      <c r="H15" s="221">
        <f t="shared" si="0"/>
        <v>9.0144792153199447</v>
      </c>
      <c r="I15" s="830" t="s">
        <v>314</v>
      </c>
    </row>
    <row r="16" spans="1:9" ht="16.5" thickBot="1">
      <c r="A16" s="18" t="s">
        <v>1067</v>
      </c>
      <c r="B16" s="198">
        <v>38</v>
      </c>
      <c r="C16" s="33">
        <v>60</v>
      </c>
      <c r="D16" s="33">
        <v>7</v>
      </c>
      <c r="E16" s="33">
        <v>8</v>
      </c>
      <c r="F16" s="199">
        <v>0</v>
      </c>
      <c r="G16" s="102">
        <v>113</v>
      </c>
      <c r="H16" s="220">
        <f t="shared" si="0"/>
        <v>5.2779075198505367</v>
      </c>
      <c r="I16" s="829" t="s">
        <v>313</v>
      </c>
    </row>
    <row r="17" spans="1:9" ht="16.5" thickBot="1">
      <c r="A17" s="15" t="s">
        <v>1068</v>
      </c>
      <c r="B17" s="198">
        <v>20</v>
      </c>
      <c r="C17" s="33">
        <v>33</v>
      </c>
      <c r="D17" s="33">
        <v>4</v>
      </c>
      <c r="E17" s="33">
        <v>2</v>
      </c>
      <c r="F17" s="199">
        <v>0</v>
      </c>
      <c r="G17" s="102">
        <v>59</v>
      </c>
      <c r="H17" s="221">
        <f t="shared" si="0"/>
        <v>2.7557216254086874</v>
      </c>
      <c r="I17" s="830" t="s">
        <v>133</v>
      </c>
    </row>
    <row r="18" spans="1:9" ht="16.5" thickBot="1">
      <c r="A18" s="18" t="s">
        <v>1053</v>
      </c>
      <c r="B18" s="198">
        <v>14</v>
      </c>
      <c r="C18" s="33">
        <v>20</v>
      </c>
      <c r="D18" s="33">
        <v>3</v>
      </c>
      <c r="E18" s="33">
        <v>3</v>
      </c>
      <c r="F18" s="199">
        <v>0</v>
      </c>
      <c r="G18" s="102">
        <v>40</v>
      </c>
      <c r="H18" s="220">
        <f t="shared" si="0"/>
        <v>1.8682858477347033</v>
      </c>
      <c r="I18" s="829" t="s">
        <v>127</v>
      </c>
    </row>
    <row r="19" spans="1:9" ht="16.5" thickBot="1">
      <c r="A19" s="15" t="s">
        <v>430</v>
      </c>
      <c r="B19" s="198">
        <v>27</v>
      </c>
      <c r="C19" s="33">
        <v>30</v>
      </c>
      <c r="D19" s="33">
        <v>4</v>
      </c>
      <c r="E19" s="33">
        <v>5</v>
      </c>
      <c r="F19" s="199">
        <v>0</v>
      </c>
      <c r="G19" s="102">
        <v>66</v>
      </c>
      <c r="H19" s="221">
        <f t="shared" si="0"/>
        <v>3.0826716487622607</v>
      </c>
      <c r="I19" s="830" t="s">
        <v>430</v>
      </c>
    </row>
    <row r="20" spans="1:9" ht="16.5" thickBot="1">
      <c r="A20" s="70" t="s">
        <v>14</v>
      </c>
      <c r="B20" s="200">
        <v>3</v>
      </c>
      <c r="C20" s="201">
        <v>5</v>
      </c>
      <c r="D20" s="201">
        <v>1</v>
      </c>
      <c r="E20" s="201">
        <v>0</v>
      </c>
      <c r="F20" s="202">
        <v>0</v>
      </c>
      <c r="G20" s="102">
        <v>9</v>
      </c>
      <c r="H20" s="223">
        <f t="shared" si="0"/>
        <v>0.42036431574030825</v>
      </c>
      <c r="I20" s="831" t="s">
        <v>15</v>
      </c>
    </row>
    <row r="21" spans="1:9" ht="20.100000000000001" customHeight="1" thickBot="1">
      <c r="A21" s="28" t="s">
        <v>16</v>
      </c>
      <c r="B21" s="226">
        <f t="shared" ref="B21:G21" si="1">SUM(B9:B20)</f>
        <v>1074</v>
      </c>
      <c r="C21" s="226">
        <f t="shared" ref="C21:F21" si="2">SUM(C9:C20)</f>
        <v>859</v>
      </c>
      <c r="D21" s="226">
        <f t="shared" si="2"/>
        <v>154</v>
      </c>
      <c r="E21" s="226">
        <f t="shared" si="2"/>
        <v>54</v>
      </c>
      <c r="F21" s="226">
        <f t="shared" si="2"/>
        <v>0</v>
      </c>
      <c r="G21" s="226">
        <f t="shared" si="1"/>
        <v>2141</v>
      </c>
      <c r="H21" s="225">
        <f t="shared" ref="H21" si="3">SUM(H9:H20)</f>
        <v>100.00000000000001</v>
      </c>
      <c r="I21" s="27" t="s">
        <v>55</v>
      </c>
    </row>
    <row r="22" spans="1:9" ht="20.100000000000001" customHeight="1">
      <c r="A22" s="13" t="s">
        <v>312</v>
      </c>
      <c r="B22" s="514">
        <f>B21/$G$21%</f>
        <v>50.163475011676788</v>
      </c>
      <c r="C22" s="514">
        <f t="shared" ref="C22:F22" si="4">C21/$G$21%</f>
        <v>40.121438580102755</v>
      </c>
      <c r="D22" s="514">
        <f t="shared" si="4"/>
        <v>7.192900513778608</v>
      </c>
      <c r="E22" s="514">
        <f t="shared" si="4"/>
        <v>2.5221858944418494</v>
      </c>
      <c r="F22" s="514">
        <f t="shared" si="4"/>
        <v>0</v>
      </c>
      <c r="G22" s="514">
        <f>SUM(B22:E22)</f>
        <v>100</v>
      </c>
      <c r="H22" s="1122" t="s">
        <v>311</v>
      </c>
      <c r="I22" s="1123"/>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N24"/>
  <sheetViews>
    <sheetView rightToLeft="1" view="pageBreakPreview" topLeftCell="A4" zoomScaleNormal="100" zoomScaleSheetLayoutView="100" workbookViewId="0">
      <selection activeCell="L26" sqref="L26"/>
    </sheetView>
  </sheetViews>
  <sheetFormatPr defaultColWidth="9.140625" defaultRowHeight="12.75"/>
  <cols>
    <col min="1" max="1" width="17.5703125" style="82" customWidth="1"/>
    <col min="2" max="9" width="8.42578125" style="1" customWidth="1"/>
    <col min="10" max="10" width="8.5703125" style="1" bestFit="1" customWidth="1"/>
    <col min="11" max="11" width="5.5703125" style="1" bestFit="1" customWidth="1"/>
    <col min="12" max="12" width="10.140625" style="425" bestFit="1" customWidth="1"/>
    <col min="13" max="13" width="13.140625" style="1" customWidth="1"/>
    <col min="14" max="14" width="22.140625" style="82" customWidth="1"/>
    <col min="15" max="16384" width="9.140625" style="1"/>
  </cols>
  <sheetData>
    <row r="1" spans="1:14" s="2" customFormat="1" ht="18">
      <c r="A1" s="1041" t="s">
        <v>449</v>
      </c>
      <c r="B1" s="1041"/>
      <c r="C1" s="1041"/>
      <c r="D1" s="1041"/>
      <c r="E1" s="1041"/>
      <c r="F1" s="1041"/>
      <c r="G1" s="1041"/>
      <c r="H1" s="1041"/>
      <c r="I1" s="1041"/>
      <c r="J1" s="1041"/>
      <c r="K1" s="1041"/>
      <c r="L1" s="1041"/>
      <c r="M1" s="1041"/>
      <c r="N1" s="1041"/>
    </row>
    <row r="2" spans="1:14" s="3" customFormat="1" ht="37.5" customHeight="1">
      <c r="A2" s="1068" t="s">
        <v>552</v>
      </c>
      <c r="B2" s="1068"/>
      <c r="C2" s="1068"/>
      <c r="D2" s="1068"/>
      <c r="E2" s="1068"/>
      <c r="F2" s="1068"/>
      <c r="G2" s="1068"/>
      <c r="H2" s="1068"/>
      <c r="I2" s="1068"/>
      <c r="J2" s="1068"/>
      <c r="K2" s="1068"/>
      <c r="L2" s="1068"/>
      <c r="M2" s="1068"/>
      <c r="N2" s="1068"/>
    </row>
    <row r="3" spans="1:14" s="2" customFormat="1" ht="15.75">
      <c r="A3" s="1069">
        <v>2021</v>
      </c>
      <c r="B3" s="1069"/>
      <c r="C3" s="1069"/>
      <c r="D3" s="1069"/>
      <c r="E3" s="1069"/>
      <c r="F3" s="1069"/>
      <c r="G3" s="1069"/>
      <c r="H3" s="1069"/>
      <c r="I3" s="1069"/>
      <c r="J3" s="1069"/>
      <c r="K3" s="1069"/>
      <c r="L3" s="1069"/>
      <c r="M3" s="1069"/>
      <c r="N3" s="1069"/>
    </row>
    <row r="4" spans="1:14" s="2" customFormat="1" ht="15.75">
      <c r="A4" s="1069"/>
      <c r="B4" s="1069"/>
      <c r="C4" s="1069"/>
      <c r="D4" s="1069"/>
      <c r="E4" s="1069"/>
      <c r="F4" s="1069"/>
      <c r="G4" s="1069"/>
      <c r="H4" s="1069"/>
      <c r="I4" s="1069"/>
      <c r="J4" s="1069"/>
      <c r="K4" s="1069"/>
      <c r="L4" s="1069"/>
      <c r="M4" s="1069"/>
      <c r="N4" s="1069"/>
    </row>
    <row r="5" spans="1:14" ht="15.75">
      <c r="A5" s="381" t="s">
        <v>497</v>
      </c>
      <c r="B5" s="378"/>
      <c r="C5" s="378"/>
      <c r="D5" s="378"/>
      <c r="E5" s="378"/>
      <c r="F5" s="378"/>
      <c r="G5" s="378"/>
      <c r="H5" s="378"/>
      <c r="I5" s="378"/>
      <c r="J5" s="378"/>
      <c r="K5" s="378"/>
      <c r="L5" s="424"/>
      <c r="M5" s="378"/>
      <c r="N5" s="382" t="s">
        <v>498</v>
      </c>
    </row>
    <row r="6" spans="1:14" ht="24.75" customHeight="1" thickBot="1">
      <c r="A6" s="1191" t="s">
        <v>381</v>
      </c>
      <c r="B6" s="1194" t="s">
        <v>448</v>
      </c>
      <c r="C6" s="1195"/>
      <c r="D6" s="1195"/>
      <c r="E6" s="1195"/>
      <c r="F6" s="1195"/>
      <c r="G6" s="1195"/>
      <c r="H6" s="1195"/>
      <c r="I6" s="1196"/>
      <c r="J6" s="1197" t="s">
        <v>640</v>
      </c>
      <c r="K6" s="1197"/>
      <c r="L6" s="1197"/>
      <c r="M6" s="1145" t="s">
        <v>641</v>
      </c>
      <c r="N6" s="1199" t="s">
        <v>380</v>
      </c>
    </row>
    <row r="7" spans="1:14" ht="70.5" customHeight="1" thickBot="1">
      <c r="A7" s="1192"/>
      <c r="B7" s="1202" t="s">
        <v>633</v>
      </c>
      <c r="C7" s="1202"/>
      <c r="D7" s="1202" t="s">
        <v>634</v>
      </c>
      <c r="E7" s="1202"/>
      <c r="F7" s="1202" t="s">
        <v>635</v>
      </c>
      <c r="G7" s="1202"/>
      <c r="H7" s="1202" t="s">
        <v>636</v>
      </c>
      <c r="I7" s="1202"/>
      <c r="J7" s="1198"/>
      <c r="K7" s="1198"/>
      <c r="L7" s="1198"/>
      <c r="M7" s="1203"/>
      <c r="N7" s="1200"/>
    </row>
    <row r="8" spans="1:14" ht="36.75" customHeight="1">
      <c r="A8" s="1193"/>
      <c r="B8" s="534" t="s">
        <v>637</v>
      </c>
      <c r="C8" s="534" t="s">
        <v>638</v>
      </c>
      <c r="D8" s="534" t="s">
        <v>637</v>
      </c>
      <c r="E8" s="534" t="s">
        <v>638</v>
      </c>
      <c r="F8" s="534" t="s">
        <v>637</v>
      </c>
      <c r="G8" s="534" t="s">
        <v>638</v>
      </c>
      <c r="H8" s="534" t="s">
        <v>637</v>
      </c>
      <c r="I8" s="534" t="s">
        <v>638</v>
      </c>
      <c r="J8" s="160" t="s">
        <v>637</v>
      </c>
      <c r="K8" s="160" t="s">
        <v>638</v>
      </c>
      <c r="L8" s="160" t="s">
        <v>639</v>
      </c>
      <c r="M8" s="1203"/>
      <c r="N8" s="1201"/>
    </row>
    <row r="9" spans="1:14" ht="16.5" customHeight="1" thickBot="1">
      <c r="A9" s="83" t="s">
        <v>316</v>
      </c>
      <c r="B9" s="20">
        <v>186</v>
      </c>
      <c r="C9" s="20">
        <v>58</v>
      </c>
      <c r="D9" s="20">
        <v>25</v>
      </c>
      <c r="E9" s="20">
        <v>2</v>
      </c>
      <c r="F9" s="20">
        <v>8</v>
      </c>
      <c r="G9" s="20">
        <v>2</v>
      </c>
      <c r="H9" s="20">
        <v>31</v>
      </c>
      <c r="I9" s="20">
        <v>33</v>
      </c>
      <c r="J9" s="19">
        <v>250</v>
      </c>
      <c r="K9" s="19">
        <v>95</v>
      </c>
      <c r="L9" s="19">
        <v>2</v>
      </c>
      <c r="M9" s="312">
        <v>347</v>
      </c>
      <c r="N9" s="842" t="s">
        <v>315</v>
      </c>
    </row>
    <row r="10" spans="1:14" ht="18" customHeight="1" thickBot="1">
      <c r="A10" s="388" t="s">
        <v>427</v>
      </c>
      <c r="B10" s="435">
        <v>316</v>
      </c>
      <c r="C10" s="435">
        <v>189</v>
      </c>
      <c r="D10" s="435">
        <v>59</v>
      </c>
      <c r="E10" s="435">
        <v>31</v>
      </c>
      <c r="F10" s="435">
        <v>18</v>
      </c>
      <c r="G10" s="435">
        <v>22</v>
      </c>
      <c r="H10" s="435">
        <v>176</v>
      </c>
      <c r="I10" s="20">
        <v>197</v>
      </c>
      <c r="J10" s="19">
        <v>569</v>
      </c>
      <c r="K10" s="19">
        <v>439</v>
      </c>
      <c r="L10" s="436">
        <v>29</v>
      </c>
      <c r="M10" s="312">
        <v>1037</v>
      </c>
      <c r="N10" s="842" t="s">
        <v>427</v>
      </c>
    </row>
    <row r="11" spans="1:14" ht="18" customHeight="1" thickBot="1">
      <c r="A11" s="388" t="s">
        <v>428</v>
      </c>
      <c r="B11" s="435">
        <v>52</v>
      </c>
      <c r="C11" s="435">
        <v>7</v>
      </c>
      <c r="D11" s="435">
        <v>4</v>
      </c>
      <c r="E11" s="435">
        <v>0</v>
      </c>
      <c r="F11" s="435">
        <v>1</v>
      </c>
      <c r="G11" s="435">
        <v>0</v>
      </c>
      <c r="H11" s="435">
        <v>21</v>
      </c>
      <c r="I11" s="20">
        <v>8</v>
      </c>
      <c r="J11" s="19">
        <v>78</v>
      </c>
      <c r="K11" s="19">
        <v>15</v>
      </c>
      <c r="L11" s="436">
        <v>0</v>
      </c>
      <c r="M11" s="312">
        <v>93</v>
      </c>
      <c r="N11" s="842" t="s">
        <v>428</v>
      </c>
    </row>
    <row r="12" spans="1:14" ht="18" customHeight="1" thickBot="1">
      <c r="A12" s="388" t="s">
        <v>429</v>
      </c>
      <c r="B12" s="435">
        <v>28</v>
      </c>
      <c r="C12" s="435">
        <v>1</v>
      </c>
      <c r="D12" s="435">
        <v>8</v>
      </c>
      <c r="E12" s="435">
        <v>0</v>
      </c>
      <c r="F12" s="435">
        <v>1</v>
      </c>
      <c r="G12" s="435">
        <v>1</v>
      </c>
      <c r="H12" s="435">
        <v>15</v>
      </c>
      <c r="I12" s="20">
        <v>2</v>
      </c>
      <c r="J12" s="19">
        <v>52</v>
      </c>
      <c r="K12" s="19">
        <v>4</v>
      </c>
      <c r="L12" s="436">
        <v>1</v>
      </c>
      <c r="M12" s="312">
        <v>57</v>
      </c>
      <c r="N12" s="842" t="s">
        <v>429</v>
      </c>
    </row>
    <row r="13" spans="1:14" ht="18" customHeight="1" thickBot="1">
      <c r="A13" s="388" t="s">
        <v>418</v>
      </c>
      <c r="B13" s="435">
        <v>29</v>
      </c>
      <c r="C13" s="435">
        <v>2</v>
      </c>
      <c r="D13" s="435">
        <v>1</v>
      </c>
      <c r="E13" s="435">
        <v>0</v>
      </c>
      <c r="F13" s="435">
        <v>0</v>
      </c>
      <c r="G13" s="435">
        <v>0</v>
      </c>
      <c r="H13" s="435">
        <v>28</v>
      </c>
      <c r="I13" s="20">
        <v>6</v>
      </c>
      <c r="J13" s="19">
        <v>58</v>
      </c>
      <c r="K13" s="19">
        <v>8</v>
      </c>
      <c r="L13" s="436">
        <v>0</v>
      </c>
      <c r="M13" s="312">
        <v>66</v>
      </c>
      <c r="N13" s="842" t="s">
        <v>418</v>
      </c>
    </row>
    <row r="14" spans="1:14" ht="18" customHeight="1" thickBot="1">
      <c r="A14" s="388" t="s">
        <v>24</v>
      </c>
      <c r="B14" s="435">
        <v>20</v>
      </c>
      <c r="C14" s="435">
        <v>5</v>
      </c>
      <c r="D14" s="435">
        <v>9</v>
      </c>
      <c r="E14" s="435">
        <v>3</v>
      </c>
      <c r="F14" s="435">
        <v>0</v>
      </c>
      <c r="G14" s="435">
        <v>3</v>
      </c>
      <c r="H14" s="435">
        <v>16</v>
      </c>
      <c r="I14" s="20">
        <v>3</v>
      </c>
      <c r="J14" s="19">
        <v>45</v>
      </c>
      <c r="K14" s="19">
        <v>14</v>
      </c>
      <c r="L14" s="436">
        <v>2</v>
      </c>
      <c r="M14" s="312">
        <v>61</v>
      </c>
      <c r="N14" s="842" t="s">
        <v>24</v>
      </c>
    </row>
    <row r="15" spans="1:14" ht="18" customHeight="1" thickBot="1">
      <c r="A15" s="388" t="s">
        <v>314</v>
      </c>
      <c r="B15" s="435">
        <v>65</v>
      </c>
      <c r="C15" s="435">
        <v>15</v>
      </c>
      <c r="D15" s="435">
        <v>22</v>
      </c>
      <c r="E15" s="435">
        <v>3</v>
      </c>
      <c r="F15" s="435">
        <v>4</v>
      </c>
      <c r="G15" s="435">
        <v>4</v>
      </c>
      <c r="H15" s="435">
        <v>41</v>
      </c>
      <c r="I15" s="20">
        <v>37</v>
      </c>
      <c r="J15" s="19">
        <v>132</v>
      </c>
      <c r="K15" s="19">
        <v>59</v>
      </c>
      <c r="L15" s="436">
        <v>2</v>
      </c>
      <c r="M15" s="312">
        <v>193</v>
      </c>
      <c r="N15" s="842" t="s">
        <v>314</v>
      </c>
    </row>
    <row r="16" spans="1:14" ht="18" customHeight="1" thickBot="1">
      <c r="A16" s="388" t="s">
        <v>313</v>
      </c>
      <c r="B16" s="435">
        <v>39</v>
      </c>
      <c r="C16" s="435">
        <v>7</v>
      </c>
      <c r="D16" s="435">
        <v>9</v>
      </c>
      <c r="E16" s="435">
        <v>1</v>
      </c>
      <c r="F16" s="435">
        <v>3</v>
      </c>
      <c r="G16" s="435">
        <v>2</v>
      </c>
      <c r="H16" s="435">
        <v>31</v>
      </c>
      <c r="I16" s="20">
        <v>18</v>
      </c>
      <c r="J16" s="19">
        <v>82</v>
      </c>
      <c r="K16" s="19">
        <v>28</v>
      </c>
      <c r="L16" s="436">
        <v>3</v>
      </c>
      <c r="M16" s="312">
        <v>113</v>
      </c>
      <c r="N16" s="842" t="s">
        <v>313</v>
      </c>
    </row>
    <row r="17" spans="1:14" ht="18" customHeight="1" thickBot="1">
      <c r="A17" s="388" t="s">
        <v>133</v>
      </c>
      <c r="B17" s="435">
        <v>20</v>
      </c>
      <c r="C17" s="435">
        <v>8</v>
      </c>
      <c r="D17" s="435">
        <v>3</v>
      </c>
      <c r="E17" s="435">
        <v>4</v>
      </c>
      <c r="F17" s="435">
        <v>0</v>
      </c>
      <c r="G17" s="435">
        <v>1</v>
      </c>
      <c r="H17" s="435">
        <v>12</v>
      </c>
      <c r="I17" s="20">
        <v>10</v>
      </c>
      <c r="J17" s="19">
        <v>35</v>
      </c>
      <c r="K17" s="19">
        <v>23</v>
      </c>
      <c r="L17" s="436">
        <v>1</v>
      </c>
      <c r="M17" s="312">
        <v>59</v>
      </c>
      <c r="N17" s="842" t="s">
        <v>133</v>
      </c>
    </row>
    <row r="18" spans="1:14" ht="18" customHeight="1" thickBot="1">
      <c r="A18" s="388" t="s">
        <v>127</v>
      </c>
      <c r="B18" s="435">
        <v>17</v>
      </c>
      <c r="C18" s="435">
        <v>12</v>
      </c>
      <c r="D18" s="435">
        <v>0</v>
      </c>
      <c r="E18" s="435">
        <v>0</v>
      </c>
      <c r="F18" s="435">
        <v>0</v>
      </c>
      <c r="G18" s="435">
        <v>1</v>
      </c>
      <c r="H18" s="435">
        <v>6</v>
      </c>
      <c r="I18" s="20">
        <v>4</v>
      </c>
      <c r="J18" s="19">
        <v>23</v>
      </c>
      <c r="K18" s="19">
        <v>17</v>
      </c>
      <c r="L18" s="436">
        <v>0</v>
      </c>
      <c r="M18" s="312">
        <v>40</v>
      </c>
      <c r="N18" s="842" t="s">
        <v>127</v>
      </c>
    </row>
    <row r="19" spans="1:14" s="88" customFormat="1" ht="18" customHeight="1" thickBot="1">
      <c r="A19" s="388" t="s">
        <v>430</v>
      </c>
      <c r="B19" s="435">
        <v>34</v>
      </c>
      <c r="C19" s="435">
        <v>6</v>
      </c>
      <c r="D19" s="435">
        <v>2</v>
      </c>
      <c r="E19" s="435">
        <v>0</v>
      </c>
      <c r="F19" s="435">
        <v>1</v>
      </c>
      <c r="G19" s="435">
        <v>3</v>
      </c>
      <c r="H19" s="435">
        <v>14</v>
      </c>
      <c r="I19" s="20">
        <v>6</v>
      </c>
      <c r="J19" s="19">
        <v>51</v>
      </c>
      <c r="K19" s="19">
        <v>15</v>
      </c>
      <c r="L19" s="436">
        <v>0</v>
      </c>
      <c r="M19" s="312">
        <v>66</v>
      </c>
      <c r="N19" s="842" t="s">
        <v>430</v>
      </c>
    </row>
    <row r="20" spans="1:14" s="309" customFormat="1" ht="18" customHeight="1">
      <c r="A20" s="389" t="s">
        <v>14</v>
      </c>
      <c r="B20" s="437">
        <v>4</v>
      </c>
      <c r="C20" s="437">
        <v>2</v>
      </c>
      <c r="D20" s="437">
        <v>1</v>
      </c>
      <c r="E20" s="437">
        <v>0</v>
      </c>
      <c r="F20" s="437">
        <v>0</v>
      </c>
      <c r="G20" s="437">
        <v>0</v>
      </c>
      <c r="H20" s="437">
        <v>1</v>
      </c>
      <c r="I20" s="475">
        <v>1</v>
      </c>
      <c r="J20" s="423">
        <v>6</v>
      </c>
      <c r="K20" s="423">
        <v>3</v>
      </c>
      <c r="L20" s="438">
        <v>0</v>
      </c>
      <c r="M20" s="433">
        <v>9</v>
      </c>
      <c r="N20" s="843" t="s">
        <v>15</v>
      </c>
    </row>
    <row r="21" spans="1:14" ht="24.75" customHeight="1">
      <c r="A21" s="314" t="s">
        <v>187</v>
      </c>
      <c r="B21" s="315">
        <f>SUBTOTAL(109,Table_Default__XLS_TAB_30_281[[#All],[CAT_1_HSB_CNT]])</f>
        <v>810</v>
      </c>
      <c r="C21" s="315">
        <f>SUBTOTAL(109,Table_Default__XLS_TAB_30_281[[#All],[CAT_1_WFE_CNT]])</f>
        <v>312</v>
      </c>
      <c r="D21" s="315">
        <f>SUBTOTAL(109,Table_Default__XLS_TAB_30_281[[#All],[CAT_2_HSB_CNT]])</f>
        <v>143</v>
      </c>
      <c r="E21" s="315">
        <f>SUBTOTAL(109,Table_Default__XLS_TAB_30_281[[#All],[CAT_2_WFE_CNT]])</f>
        <v>44</v>
      </c>
      <c r="F21" s="315">
        <f>SUBTOTAL(109,Table_Default__XLS_TAB_30_281[[#All],[CAT_3_HSB_CNT]])</f>
        <v>36</v>
      </c>
      <c r="G21" s="315">
        <f>SUBTOTAL(109,Table_Default__XLS_TAB_30_281[[#All],[CAT_3_WFE_CNT]])</f>
        <v>39</v>
      </c>
      <c r="H21" s="315">
        <f>SUBTOTAL(109,Table_Default__XLS_TAB_30_281[[#All],[CAT_4_HSB_CNT]])</f>
        <v>392</v>
      </c>
      <c r="I21" s="315">
        <f>SUBTOTAL(109,Table_Default__XLS_TAB_30_281[[#All],[CAT_4_WFE_CNT]])</f>
        <v>325</v>
      </c>
      <c r="J21" s="315">
        <f>SUBTOTAL(109,Table_Default__XLS_TAB_30_281[[#All],[TOT_HSB_CNT]])</f>
        <v>1381</v>
      </c>
      <c r="K21" s="315">
        <f>SUBTOTAL(109,Table_Default__XLS_TAB_30_281[[#All],[TOT_WFE_CNT]])</f>
        <v>720</v>
      </c>
      <c r="L21" s="315">
        <f>SUBTOTAL(109,Table_Default__XLS_TAB_30_281[[#All],[TOT_NOTSTAT_CNT]])</f>
        <v>40</v>
      </c>
      <c r="M21" s="315">
        <f>SUBTOTAL(109,Table_Default__XLS_TAB_30_281[[#All],[G_TOTAL]])</f>
        <v>2141</v>
      </c>
      <c r="N21" s="844" t="s">
        <v>17</v>
      </c>
    </row>
    <row r="24" spans="1:14">
      <c r="J24" s="442"/>
    </row>
  </sheetData>
  <mergeCells count="13">
    <mergeCell ref="A4:N4"/>
    <mergeCell ref="A1:N1"/>
    <mergeCell ref="A2:N2"/>
    <mergeCell ref="A3:N3"/>
    <mergeCell ref="A6:A8"/>
    <mergeCell ref="B6:I6"/>
    <mergeCell ref="J6:L7"/>
    <mergeCell ref="N6:N8"/>
    <mergeCell ref="B7:C7"/>
    <mergeCell ref="D7:E7"/>
    <mergeCell ref="F7:G7"/>
    <mergeCell ref="H7:I7"/>
    <mergeCell ref="M6:M8"/>
  </mergeCells>
  <printOptions horizontalCentered="1" verticalCentered="1"/>
  <pageMargins left="0" right="0" top="0" bottom="0" header="0" footer="0"/>
  <pageSetup paperSize="9" scale="94" orientation="landscape" r:id="rId1"/>
  <headerFooter alignWithMargins="0"/>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I23"/>
  <sheetViews>
    <sheetView rightToLeft="1" view="pageBreakPreview" topLeftCell="A4" zoomScaleNormal="100" zoomScaleSheetLayoutView="100" workbookViewId="0">
      <selection activeCell="G22" sqref="G22"/>
    </sheetView>
  </sheetViews>
  <sheetFormatPr defaultColWidth="9.140625" defaultRowHeight="12.75"/>
  <cols>
    <col min="1" max="1" width="22.85546875" style="1" customWidth="1"/>
    <col min="2" max="5" width="14.28515625" style="1" customWidth="1"/>
    <col min="6" max="6" width="13" style="1" customWidth="1"/>
    <col min="7" max="7" width="14.28515625" style="1" customWidth="1"/>
    <col min="8" max="8" width="13.5703125" style="1" customWidth="1"/>
    <col min="9" max="9" width="21.28515625" style="1" customWidth="1"/>
    <col min="10" max="16384" width="9.140625" style="1"/>
  </cols>
  <sheetData>
    <row r="1" spans="1:9" ht="24" customHeight="1">
      <c r="A1" s="1129" t="s">
        <v>330</v>
      </c>
      <c r="B1" s="1129"/>
      <c r="C1" s="1129"/>
      <c r="D1" s="1129"/>
      <c r="E1" s="1129"/>
      <c r="F1" s="1129"/>
      <c r="G1" s="1129"/>
      <c r="H1" s="1129"/>
      <c r="I1" s="1129"/>
    </row>
    <row r="2" spans="1:9" ht="15.75" customHeight="1">
      <c r="A2" s="1100" t="s">
        <v>329</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167</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499</v>
      </c>
      <c r="B6" s="364"/>
      <c r="C6" s="365"/>
      <c r="D6" s="365"/>
      <c r="E6" s="365"/>
      <c r="F6" s="365"/>
      <c r="G6" s="370"/>
      <c r="H6" s="370"/>
      <c r="I6" s="370" t="s">
        <v>500</v>
      </c>
    </row>
    <row r="7" spans="1:9" ht="27.75" customHeight="1" thickBot="1">
      <c r="A7" s="1176" t="s">
        <v>318</v>
      </c>
      <c r="B7" s="1174" t="s">
        <v>300</v>
      </c>
      <c r="C7" s="1174"/>
      <c r="D7" s="1174"/>
      <c r="E7" s="1174"/>
      <c r="F7" s="1174"/>
      <c r="G7" s="1174"/>
      <c r="H7" s="1125" t="s">
        <v>627</v>
      </c>
      <c r="I7" s="1127" t="s">
        <v>317</v>
      </c>
    </row>
    <row r="8" spans="1:9" ht="57" customHeight="1">
      <c r="A8" s="1177"/>
      <c r="B8" s="354" t="s">
        <v>642</v>
      </c>
      <c r="C8" s="354" t="s">
        <v>630</v>
      </c>
      <c r="D8" s="354" t="s">
        <v>631</v>
      </c>
      <c r="E8" s="354" t="s">
        <v>643</v>
      </c>
      <c r="F8" s="399" t="s">
        <v>601</v>
      </c>
      <c r="G8" s="322" t="s">
        <v>107</v>
      </c>
      <c r="H8" s="1126"/>
      <c r="I8" s="1128"/>
    </row>
    <row r="9" spans="1:9" ht="16.5" customHeight="1" thickBot="1">
      <c r="A9" s="216" t="s">
        <v>316</v>
      </c>
      <c r="B9" s="198">
        <v>210</v>
      </c>
      <c r="C9" s="33">
        <v>17</v>
      </c>
      <c r="D9" s="33">
        <v>25</v>
      </c>
      <c r="E9" s="33">
        <v>2</v>
      </c>
      <c r="F9" s="199">
        <v>0</v>
      </c>
      <c r="G9" s="102">
        <v>254</v>
      </c>
      <c r="H9" s="219">
        <f>G9/$G$21%</f>
        <v>20.870994248151192</v>
      </c>
      <c r="I9" s="833" t="s">
        <v>315</v>
      </c>
    </row>
    <row r="10" spans="1:9" ht="16.5" customHeight="1" thickBot="1">
      <c r="A10" s="217">
        <v>-1</v>
      </c>
      <c r="B10" s="198">
        <v>318</v>
      </c>
      <c r="C10" s="33">
        <v>204</v>
      </c>
      <c r="D10" s="33">
        <v>26</v>
      </c>
      <c r="E10" s="33">
        <v>14</v>
      </c>
      <c r="F10" s="199">
        <v>0</v>
      </c>
      <c r="G10" s="102">
        <v>562</v>
      </c>
      <c r="H10" s="220">
        <f t="shared" ref="H10:H20" si="0">G10/$G$21%</f>
        <v>46.179129005751847</v>
      </c>
      <c r="I10" s="829">
        <v>-1</v>
      </c>
    </row>
    <row r="11" spans="1:9" ht="16.5" customHeight="1" thickBot="1">
      <c r="A11" s="218">
        <v>1</v>
      </c>
      <c r="B11" s="198">
        <v>5</v>
      </c>
      <c r="C11" s="33">
        <v>49</v>
      </c>
      <c r="D11" s="33">
        <v>5</v>
      </c>
      <c r="E11" s="33">
        <v>1</v>
      </c>
      <c r="F11" s="199">
        <v>0</v>
      </c>
      <c r="G11" s="102">
        <v>60</v>
      </c>
      <c r="H11" s="221">
        <f t="shared" si="0"/>
        <v>4.9301561216105174</v>
      </c>
      <c r="I11" s="830">
        <v>1</v>
      </c>
    </row>
    <row r="12" spans="1:9" ht="16.5" customHeight="1" thickBot="1">
      <c r="A12" s="217">
        <v>2</v>
      </c>
      <c r="B12" s="198">
        <v>10</v>
      </c>
      <c r="C12" s="33">
        <v>20</v>
      </c>
      <c r="D12" s="33">
        <v>1</v>
      </c>
      <c r="E12" s="33">
        <v>1</v>
      </c>
      <c r="F12" s="199">
        <v>0</v>
      </c>
      <c r="G12" s="102">
        <v>32</v>
      </c>
      <c r="H12" s="220">
        <f t="shared" si="0"/>
        <v>2.6294165981922761</v>
      </c>
      <c r="I12" s="829">
        <v>2</v>
      </c>
    </row>
    <row r="13" spans="1:9" ht="16.5" customHeight="1" thickBot="1">
      <c r="A13" s="218">
        <v>3</v>
      </c>
      <c r="B13" s="198">
        <v>5</v>
      </c>
      <c r="C13" s="33">
        <v>23</v>
      </c>
      <c r="D13" s="33">
        <v>2</v>
      </c>
      <c r="E13" s="33">
        <v>1</v>
      </c>
      <c r="F13" s="199">
        <v>0</v>
      </c>
      <c r="G13" s="102">
        <v>31</v>
      </c>
      <c r="H13" s="221">
        <f t="shared" si="0"/>
        <v>2.5472473294987674</v>
      </c>
      <c r="I13" s="830">
        <v>3</v>
      </c>
    </row>
    <row r="14" spans="1:9" ht="16.5" customHeight="1" thickBot="1">
      <c r="A14" s="217">
        <v>4</v>
      </c>
      <c r="B14" s="198">
        <v>9</v>
      </c>
      <c r="C14" s="33">
        <v>17</v>
      </c>
      <c r="D14" s="33">
        <v>3</v>
      </c>
      <c r="E14" s="33">
        <v>0</v>
      </c>
      <c r="F14" s="199">
        <v>0</v>
      </c>
      <c r="G14" s="102">
        <v>29</v>
      </c>
      <c r="H14" s="220">
        <f t="shared" si="0"/>
        <v>2.3829087921117504</v>
      </c>
      <c r="I14" s="829">
        <v>4</v>
      </c>
    </row>
    <row r="15" spans="1:9" ht="16.5" customHeight="1" thickBot="1">
      <c r="A15" s="218" t="s">
        <v>1066</v>
      </c>
      <c r="B15" s="198">
        <v>16</v>
      </c>
      <c r="C15" s="33">
        <v>67</v>
      </c>
      <c r="D15" s="33">
        <v>4</v>
      </c>
      <c r="E15" s="33">
        <v>1</v>
      </c>
      <c r="F15" s="199">
        <v>0</v>
      </c>
      <c r="G15" s="102">
        <v>88</v>
      </c>
      <c r="H15" s="221">
        <f t="shared" si="0"/>
        <v>7.2308956450287596</v>
      </c>
      <c r="I15" s="830" t="s">
        <v>314</v>
      </c>
    </row>
    <row r="16" spans="1:9" ht="16.5" customHeight="1" thickBot="1">
      <c r="A16" s="217" t="s">
        <v>1067</v>
      </c>
      <c r="B16" s="198">
        <v>11</v>
      </c>
      <c r="C16" s="33">
        <v>34</v>
      </c>
      <c r="D16" s="33">
        <v>3</v>
      </c>
      <c r="E16" s="33">
        <v>3</v>
      </c>
      <c r="F16" s="199">
        <v>0</v>
      </c>
      <c r="G16" s="102">
        <v>51</v>
      </c>
      <c r="H16" s="220">
        <f t="shared" si="0"/>
        <v>4.1906327033689399</v>
      </c>
      <c r="I16" s="829" t="s">
        <v>313</v>
      </c>
    </row>
    <row r="17" spans="1:9" ht="16.5" customHeight="1" thickBot="1">
      <c r="A17" s="218" t="s">
        <v>1068</v>
      </c>
      <c r="B17" s="198">
        <v>8</v>
      </c>
      <c r="C17" s="33">
        <v>19</v>
      </c>
      <c r="D17" s="33">
        <v>1</v>
      </c>
      <c r="E17" s="33">
        <v>2</v>
      </c>
      <c r="F17" s="199">
        <v>0</v>
      </c>
      <c r="G17" s="102">
        <v>30</v>
      </c>
      <c r="H17" s="221">
        <f t="shared" si="0"/>
        <v>2.4650780608052587</v>
      </c>
      <c r="I17" s="830" t="s">
        <v>133</v>
      </c>
    </row>
    <row r="18" spans="1:9" ht="16.5" customHeight="1" thickBot="1">
      <c r="A18" s="217" t="s">
        <v>1053</v>
      </c>
      <c r="B18" s="198">
        <v>9</v>
      </c>
      <c r="C18" s="33">
        <v>16</v>
      </c>
      <c r="D18" s="33">
        <v>2</v>
      </c>
      <c r="E18" s="33">
        <v>3</v>
      </c>
      <c r="F18" s="199">
        <v>0</v>
      </c>
      <c r="G18" s="102">
        <v>30</v>
      </c>
      <c r="H18" s="220">
        <f>G18/$G$21%</f>
        <v>2.4650780608052587</v>
      </c>
      <c r="I18" s="829" t="s">
        <v>127</v>
      </c>
    </row>
    <row r="19" spans="1:9" ht="16.5" customHeight="1" thickBot="1">
      <c r="A19" s="218" t="s">
        <v>430</v>
      </c>
      <c r="B19" s="198">
        <v>16</v>
      </c>
      <c r="C19" s="33">
        <v>24</v>
      </c>
      <c r="D19" s="33">
        <v>2</v>
      </c>
      <c r="E19" s="33">
        <v>2</v>
      </c>
      <c r="F19" s="199">
        <v>0</v>
      </c>
      <c r="G19" s="102">
        <v>44</v>
      </c>
      <c r="H19" s="221">
        <f t="shared" si="0"/>
        <v>3.6154478225143798</v>
      </c>
      <c r="I19" s="830" t="s">
        <v>430</v>
      </c>
    </row>
    <row r="20" spans="1:9" ht="16.5" customHeight="1" thickBot="1">
      <c r="A20" s="222" t="s">
        <v>14</v>
      </c>
      <c r="B20" s="200">
        <v>1</v>
      </c>
      <c r="C20" s="201">
        <v>4</v>
      </c>
      <c r="D20" s="201">
        <v>1</v>
      </c>
      <c r="E20" s="201">
        <v>0</v>
      </c>
      <c r="F20" s="202">
        <v>0</v>
      </c>
      <c r="G20" s="102">
        <v>6</v>
      </c>
      <c r="H20" s="223">
        <f t="shared" si="0"/>
        <v>0.49301561216105177</v>
      </c>
      <c r="I20" s="831" t="s">
        <v>15</v>
      </c>
    </row>
    <row r="21" spans="1:9" ht="22.5" customHeight="1" thickBot="1">
      <c r="A21" s="28" t="s">
        <v>16</v>
      </c>
      <c r="B21" s="226">
        <f>SUM(B9:B20)</f>
        <v>618</v>
      </c>
      <c r="C21" s="226">
        <f>SUM(C9:C20)</f>
        <v>494</v>
      </c>
      <c r="D21" s="226">
        <f t="shared" ref="D21:E21" si="1">SUM(D9:D20)</f>
        <v>75</v>
      </c>
      <c r="E21" s="226">
        <f t="shared" si="1"/>
        <v>30</v>
      </c>
      <c r="F21" s="226">
        <v>0</v>
      </c>
      <c r="G21" s="226">
        <f>SUM(G9:G20)</f>
        <v>1217</v>
      </c>
      <c r="H21" s="225">
        <f>SUM(H9:H20)</f>
        <v>99.999999999999986</v>
      </c>
      <c r="I21" s="27" t="s">
        <v>55</v>
      </c>
    </row>
    <row r="22" spans="1:9" ht="22.5" customHeight="1">
      <c r="A22" s="13" t="s">
        <v>312</v>
      </c>
      <c r="B22" s="514">
        <f>B21/$G$21%</f>
        <v>50.780608052588335</v>
      </c>
      <c r="C22" s="514">
        <f t="shared" ref="C22:G22" si="2">C21/$G$21%</f>
        <v>40.591618734593261</v>
      </c>
      <c r="D22" s="514">
        <f t="shared" si="2"/>
        <v>6.1626951520131472</v>
      </c>
      <c r="E22" s="514">
        <f t="shared" si="2"/>
        <v>2.4650780608052587</v>
      </c>
      <c r="F22" s="514">
        <f t="shared" si="2"/>
        <v>0</v>
      </c>
      <c r="G22" s="514">
        <f t="shared" si="2"/>
        <v>100</v>
      </c>
      <c r="H22" s="1122" t="s">
        <v>311</v>
      </c>
      <c r="I22" s="1123"/>
    </row>
    <row r="23" spans="1:9">
      <c r="F23" s="94">
        <f>SUM(F9:F21)</f>
        <v>0</v>
      </c>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I22"/>
  <sheetViews>
    <sheetView rightToLeft="1" view="pageBreakPreview" topLeftCell="A7" zoomScaleNormal="100" zoomScaleSheetLayoutView="100" workbookViewId="0">
      <selection activeCell="G27" sqref="G27"/>
    </sheetView>
  </sheetViews>
  <sheetFormatPr defaultColWidth="9.140625" defaultRowHeight="12.75"/>
  <cols>
    <col min="1" max="1" width="22.85546875" style="1" customWidth="1"/>
    <col min="2" max="5" width="14.28515625" style="1" customWidth="1"/>
    <col min="6" max="6" width="13" style="1" customWidth="1"/>
    <col min="7" max="7" width="14.28515625" style="1" customWidth="1"/>
    <col min="8" max="8" width="13.5703125" style="1" customWidth="1"/>
    <col min="9" max="9" width="21.28515625" style="1" customWidth="1"/>
    <col min="10" max="16384" width="9.140625" style="1"/>
  </cols>
  <sheetData>
    <row r="1" spans="1:9" ht="24" customHeight="1">
      <c r="A1" s="1129" t="s">
        <v>330</v>
      </c>
      <c r="B1" s="1129"/>
      <c r="C1" s="1129"/>
      <c r="D1" s="1129"/>
      <c r="E1" s="1129"/>
      <c r="F1" s="1129"/>
      <c r="G1" s="1129"/>
      <c r="H1" s="1129"/>
      <c r="I1" s="1129"/>
    </row>
    <row r="2" spans="1:9" ht="15.75" customHeight="1">
      <c r="A2" s="1100" t="s">
        <v>329</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172</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503</v>
      </c>
      <c r="B6" s="364"/>
      <c r="C6" s="365"/>
      <c r="D6" s="365"/>
      <c r="E6" s="365"/>
      <c r="F6" s="365"/>
      <c r="G6" s="370"/>
      <c r="H6" s="370"/>
      <c r="I6" s="370" t="s">
        <v>504</v>
      </c>
    </row>
    <row r="7" spans="1:9" ht="27.75" customHeight="1" thickBot="1">
      <c r="A7" s="1176" t="s">
        <v>318</v>
      </c>
      <c r="B7" s="1174" t="s">
        <v>300</v>
      </c>
      <c r="C7" s="1174"/>
      <c r="D7" s="1174"/>
      <c r="E7" s="1174"/>
      <c r="F7" s="1174"/>
      <c r="G7" s="1174"/>
      <c r="H7" s="1125" t="s">
        <v>627</v>
      </c>
      <c r="I7" s="1127" t="s">
        <v>317</v>
      </c>
    </row>
    <row r="8" spans="1:9" ht="57" customHeight="1">
      <c r="A8" s="1177"/>
      <c r="B8" s="532" t="s">
        <v>642</v>
      </c>
      <c r="C8" s="532" t="s">
        <v>630</v>
      </c>
      <c r="D8" s="532" t="s">
        <v>631</v>
      </c>
      <c r="E8" s="532" t="s">
        <v>643</v>
      </c>
      <c r="F8" s="532" t="s">
        <v>601</v>
      </c>
      <c r="G8" s="532" t="s">
        <v>107</v>
      </c>
      <c r="H8" s="1126"/>
      <c r="I8" s="1128"/>
    </row>
    <row r="9" spans="1:9" ht="16.5" customHeight="1" thickBot="1">
      <c r="A9" s="216" t="s">
        <v>316</v>
      </c>
      <c r="B9" s="198">
        <v>69</v>
      </c>
      <c r="C9" s="33">
        <v>2</v>
      </c>
      <c r="D9" s="33">
        <v>21</v>
      </c>
      <c r="E9" s="33">
        <v>1</v>
      </c>
      <c r="F9" s="199">
        <v>0</v>
      </c>
      <c r="G9" s="102">
        <v>93</v>
      </c>
      <c r="H9" s="219">
        <f t="shared" ref="H9:H20" si="0">G9/$G$21%</f>
        <v>10.064935064935066</v>
      </c>
      <c r="I9" s="833" t="s">
        <v>315</v>
      </c>
    </row>
    <row r="10" spans="1:9" ht="16.5" customHeight="1" thickBot="1">
      <c r="A10" s="217">
        <v>-1</v>
      </c>
      <c r="B10" s="198">
        <v>267</v>
      </c>
      <c r="C10" s="33">
        <v>169</v>
      </c>
      <c r="D10" s="33">
        <v>34</v>
      </c>
      <c r="E10" s="33">
        <v>5</v>
      </c>
      <c r="F10" s="199">
        <v>0</v>
      </c>
      <c r="G10" s="102">
        <v>475</v>
      </c>
      <c r="H10" s="220">
        <f t="shared" si="0"/>
        <v>51.406926406926402</v>
      </c>
      <c r="I10" s="829">
        <v>-1</v>
      </c>
    </row>
    <row r="11" spans="1:9" ht="16.5" customHeight="1" thickBot="1">
      <c r="A11" s="218">
        <v>1</v>
      </c>
      <c r="B11" s="198">
        <v>4</v>
      </c>
      <c r="C11" s="33">
        <v>23</v>
      </c>
      <c r="D11" s="33">
        <v>4</v>
      </c>
      <c r="E11" s="33">
        <v>2</v>
      </c>
      <c r="F11" s="199">
        <v>0</v>
      </c>
      <c r="G11" s="102">
        <v>33</v>
      </c>
      <c r="H11" s="221">
        <f t="shared" si="0"/>
        <v>3.5714285714285712</v>
      </c>
      <c r="I11" s="830">
        <v>1</v>
      </c>
    </row>
    <row r="12" spans="1:9" ht="16.5" customHeight="1" thickBot="1">
      <c r="A12" s="217">
        <v>2</v>
      </c>
      <c r="B12" s="198">
        <v>6</v>
      </c>
      <c r="C12" s="33">
        <v>18</v>
      </c>
      <c r="D12" s="33">
        <v>0</v>
      </c>
      <c r="E12" s="33">
        <v>1</v>
      </c>
      <c r="F12" s="199">
        <v>0</v>
      </c>
      <c r="G12" s="102">
        <v>25</v>
      </c>
      <c r="H12" s="220">
        <f t="shared" si="0"/>
        <v>2.7056277056277054</v>
      </c>
      <c r="I12" s="829">
        <v>2</v>
      </c>
    </row>
    <row r="13" spans="1:9" ht="16.5" customHeight="1" thickBot="1">
      <c r="A13" s="218">
        <v>3</v>
      </c>
      <c r="B13" s="198">
        <v>12</v>
      </c>
      <c r="C13" s="33">
        <v>19</v>
      </c>
      <c r="D13" s="33">
        <v>2</v>
      </c>
      <c r="E13" s="33">
        <v>2</v>
      </c>
      <c r="F13" s="199">
        <v>0</v>
      </c>
      <c r="G13" s="102">
        <v>35</v>
      </c>
      <c r="H13" s="221">
        <f t="shared" si="0"/>
        <v>3.7878787878787876</v>
      </c>
      <c r="I13" s="830">
        <v>3</v>
      </c>
    </row>
    <row r="14" spans="1:9" ht="16.5" customHeight="1" thickBot="1">
      <c r="A14" s="217">
        <v>4</v>
      </c>
      <c r="B14" s="198">
        <v>7</v>
      </c>
      <c r="C14" s="33">
        <v>22</v>
      </c>
      <c r="D14" s="33">
        <v>1</v>
      </c>
      <c r="E14" s="33">
        <v>2</v>
      </c>
      <c r="F14" s="199">
        <v>0</v>
      </c>
      <c r="G14" s="102">
        <v>32</v>
      </c>
      <c r="H14" s="220">
        <f t="shared" si="0"/>
        <v>3.4632034632034632</v>
      </c>
      <c r="I14" s="829">
        <v>4</v>
      </c>
    </row>
    <row r="15" spans="1:9" ht="16.5" customHeight="1" thickBot="1">
      <c r="A15" s="218" t="s">
        <v>1066</v>
      </c>
      <c r="B15" s="198">
        <v>34</v>
      </c>
      <c r="C15" s="33">
        <v>61</v>
      </c>
      <c r="D15" s="33">
        <v>7</v>
      </c>
      <c r="E15" s="33">
        <v>3</v>
      </c>
      <c r="F15" s="199">
        <v>0</v>
      </c>
      <c r="G15" s="102">
        <v>105</v>
      </c>
      <c r="H15" s="221">
        <f t="shared" si="0"/>
        <v>11.363636363636363</v>
      </c>
      <c r="I15" s="830" t="s">
        <v>314</v>
      </c>
    </row>
    <row r="16" spans="1:9" ht="16.5" customHeight="1" thickBot="1">
      <c r="A16" s="217" t="s">
        <v>1067</v>
      </c>
      <c r="B16" s="198">
        <v>27</v>
      </c>
      <c r="C16" s="33">
        <v>26</v>
      </c>
      <c r="D16" s="33">
        <v>4</v>
      </c>
      <c r="E16" s="33">
        <v>5</v>
      </c>
      <c r="F16" s="199">
        <v>0</v>
      </c>
      <c r="G16" s="102">
        <v>62</v>
      </c>
      <c r="H16" s="220">
        <f t="shared" si="0"/>
        <v>6.7099567099567095</v>
      </c>
      <c r="I16" s="829" t="s">
        <v>313</v>
      </c>
    </row>
    <row r="17" spans="1:9" ht="16.5" customHeight="1" thickBot="1">
      <c r="A17" s="218" t="s">
        <v>1068</v>
      </c>
      <c r="B17" s="198">
        <v>12</v>
      </c>
      <c r="C17" s="33">
        <v>14</v>
      </c>
      <c r="D17" s="33">
        <v>3</v>
      </c>
      <c r="E17" s="33">
        <v>0</v>
      </c>
      <c r="F17" s="199">
        <v>0</v>
      </c>
      <c r="G17" s="102">
        <v>29</v>
      </c>
      <c r="H17" s="221">
        <f t="shared" si="0"/>
        <v>3.1385281385281383</v>
      </c>
      <c r="I17" s="830" t="s">
        <v>133</v>
      </c>
    </row>
    <row r="18" spans="1:9" ht="16.5" customHeight="1" thickBot="1">
      <c r="A18" s="217" t="s">
        <v>1053</v>
      </c>
      <c r="B18" s="198">
        <v>5</v>
      </c>
      <c r="C18" s="33">
        <v>4</v>
      </c>
      <c r="D18" s="33">
        <v>1</v>
      </c>
      <c r="E18" s="33">
        <v>0</v>
      </c>
      <c r="F18" s="199">
        <v>0</v>
      </c>
      <c r="G18" s="102">
        <v>10</v>
      </c>
      <c r="H18" s="220">
        <f t="shared" si="0"/>
        <v>1.0822510822510822</v>
      </c>
      <c r="I18" s="829" t="s">
        <v>127</v>
      </c>
    </row>
    <row r="19" spans="1:9" ht="16.5" customHeight="1" thickBot="1">
      <c r="A19" s="218" t="s">
        <v>430</v>
      </c>
      <c r="B19" s="198">
        <v>11</v>
      </c>
      <c r="C19" s="33">
        <v>6</v>
      </c>
      <c r="D19" s="33">
        <v>2</v>
      </c>
      <c r="E19" s="33">
        <v>3</v>
      </c>
      <c r="F19" s="199">
        <v>0</v>
      </c>
      <c r="G19" s="102">
        <v>22</v>
      </c>
      <c r="H19" s="221">
        <f t="shared" si="0"/>
        <v>2.3809523809523809</v>
      </c>
      <c r="I19" s="830" t="s">
        <v>430</v>
      </c>
    </row>
    <row r="20" spans="1:9" ht="16.5" customHeight="1" thickBot="1">
      <c r="A20" s="222" t="s">
        <v>14</v>
      </c>
      <c r="B20" s="200">
        <v>2</v>
      </c>
      <c r="C20" s="201">
        <v>1</v>
      </c>
      <c r="D20" s="201">
        <v>0</v>
      </c>
      <c r="E20" s="201">
        <v>0</v>
      </c>
      <c r="F20" s="202">
        <v>0</v>
      </c>
      <c r="G20" s="102">
        <v>3</v>
      </c>
      <c r="H20" s="223">
        <f t="shared" si="0"/>
        <v>0.32467532467532467</v>
      </c>
      <c r="I20" s="831" t="s">
        <v>15</v>
      </c>
    </row>
    <row r="21" spans="1:9" ht="22.5" customHeight="1" thickBot="1">
      <c r="A21" s="28" t="s">
        <v>16</v>
      </c>
      <c r="B21" s="226">
        <f t="shared" ref="B21:H21" si="1">SUM(B9:B20)</f>
        <v>456</v>
      </c>
      <c r="C21" s="226">
        <f t="shared" ref="C21:G21" si="2">SUM(C9:C20)</f>
        <v>365</v>
      </c>
      <c r="D21" s="226">
        <f t="shared" si="2"/>
        <v>79</v>
      </c>
      <c r="E21" s="226">
        <f t="shared" si="2"/>
        <v>24</v>
      </c>
      <c r="F21" s="226">
        <f t="shared" si="2"/>
        <v>0</v>
      </c>
      <c r="G21" s="226">
        <f t="shared" si="2"/>
        <v>924</v>
      </c>
      <c r="H21" s="225">
        <f t="shared" si="1"/>
        <v>100</v>
      </c>
      <c r="I21" s="27" t="s">
        <v>55</v>
      </c>
    </row>
    <row r="22" spans="1:9" ht="22.5" customHeight="1">
      <c r="A22" s="13" t="s">
        <v>312</v>
      </c>
      <c r="B22" s="514">
        <f>B21/$G$21%</f>
        <v>49.350649350649348</v>
      </c>
      <c r="C22" s="514">
        <f t="shared" ref="C22:G22" si="3">C21/$G$21%</f>
        <v>39.502164502164504</v>
      </c>
      <c r="D22" s="514">
        <f t="shared" si="3"/>
        <v>8.5497835497835499</v>
      </c>
      <c r="E22" s="514">
        <f t="shared" si="3"/>
        <v>2.5974025974025974</v>
      </c>
      <c r="F22" s="514">
        <f t="shared" si="3"/>
        <v>0</v>
      </c>
      <c r="G22" s="514">
        <f t="shared" si="3"/>
        <v>100</v>
      </c>
      <c r="H22" s="1122" t="s">
        <v>311</v>
      </c>
      <c r="I22" s="1123"/>
    </row>
  </sheetData>
  <mergeCells count="9">
    <mergeCell ref="H22:I22"/>
    <mergeCell ref="A7:A8"/>
    <mergeCell ref="A1:I1"/>
    <mergeCell ref="A2:I2"/>
    <mergeCell ref="A3:I3"/>
    <mergeCell ref="A4:I4"/>
    <mergeCell ref="B7:G7"/>
    <mergeCell ref="H7:H8"/>
    <mergeCell ref="I7:I8"/>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I22"/>
  <sheetViews>
    <sheetView rightToLeft="1" view="pageBreakPreview" topLeftCell="A7" zoomScaleNormal="100" zoomScaleSheetLayoutView="100" workbookViewId="0">
      <selection activeCell="H25" sqref="H25"/>
    </sheetView>
  </sheetViews>
  <sheetFormatPr defaultColWidth="9.140625" defaultRowHeight="12.75"/>
  <cols>
    <col min="1" max="1" width="22.85546875" style="1" customWidth="1"/>
    <col min="2" max="5" width="14.28515625" style="1" customWidth="1"/>
    <col min="6" max="6" width="13" style="1" customWidth="1"/>
    <col min="7" max="7" width="14.28515625" style="1" customWidth="1"/>
    <col min="8" max="8" width="13.5703125" style="1" customWidth="1"/>
    <col min="9" max="9" width="21.28515625" style="1" customWidth="1"/>
    <col min="10" max="16384" width="9.140625" style="1"/>
  </cols>
  <sheetData>
    <row r="1" spans="1:9" ht="24" customHeight="1">
      <c r="A1" s="1129" t="s">
        <v>330</v>
      </c>
      <c r="B1" s="1129"/>
      <c r="C1" s="1129"/>
      <c r="D1" s="1129"/>
      <c r="E1" s="1129"/>
      <c r="F1" s="1129"/>
      <c r="G1" s="1129"/>
      <c r="H1" s="1129"/>
      <c r="I1" s="1129"/>
    </row>
    <row r="2" spans="1:9" ht="15.75" customHeight="1">
      <c r="A2" s="1100" t="s">
        <v>329</v>
      </c>
      <c r="B2" s="1100"/>
      <c r="C2" s="1100"/>
      <c r="D2" s="1100"/>
      <c r="E2" s="1100"/>
      <c r="F2" s="1100"/>
      <c r="G2" s="1100"/>
      <c r="H2" s="1100"/>
      <c r="I2" s="1100"/>
    </row>
    <row r="3" spans="1:9" ht="15.75" customHeight="1">
      <c r="A3" s="1100">
        <v>2021</v>
      </c>
      <c r="B3" s="1100"/>
      <c r="C3" s="1100"/>
      <c r="D3" s="1100"/>
      <c r="E3" s="1100"/>
      <c r="F3" s="1100"/>
      <c r="G3" s="1100"/>
      <c r="H3" s="1100"/>
      <c r="I3" s="1100"/>
    </row>
    <row r="4" spans="1:9" ht="18.75" customHeight="1">
      <c r="A4" s="1100" t="s">
        <v>1</v>
      </c>
      <c r="B4" s="1100"/>
      <c r="C4" s="1100"/>
      <c r="D4" s="1100"/>
      <c r="E4" s="1100"/>
      <c r="F4" s="1100"/>
      <c r="G4" s="1100"/>
      <c r="H4" s="1100"/>
      <c r="I4" s="1100"/>
    </row>
    <row r="5" spans="1:9" ht="18.75" customHeight="1">
      <c r="A5" s="373"/>
      <c r="B5" s="373"/>
      <c r="C5" s="373"/>
      <c r="D5" s="373"/>
      <c r="E5" s="373"/>
      <c r="F5" s="400"/>
      <c r="G5" s="373"/>
      <c r="H5" s="373"/>
      <c r="I5" s="373"/>
    </row>
    <row r="6" spans="1:9" s="29" customFormat="1" ht="16.5">
      <c r="A6" s="363" t="s">
        <v>501</v>
      </c>
      <c r="B6" s="364"/>
      <c r="C6" s="365"/>
      <c r="D6" s="365"/>
      <c r="E6" s="365"/>
      <c r="F6" s="365"/>
      <c r="G6" s="370"/>
      <c r="H6" s="370"/>
      <c r="I6" s="370" t="s">
        <v>502</v>
      </c>
    </row>
    <row r="7" spans="1:9" ht="27.75" customHeight="1" thickBot="1">
      <c r="A7" s="1176" t="s">
        <v>318</v>
      </c>
      <c r="B7" s="1174" t="s">
        <v>300</v>
      </c>
      <c r="C7" s="1174"/>
      <c r="D7" s="1174"/>
      <c r="E7" s="1174"/>
      <c r="F7" s="1174"/>
      <c r="G7" s="1174"/>
      <c r="H7" s="1125" t="s">
        <v>627</v>
      </c>
      <c r="I7" s="1127" t="s">
        <v>317</v>
      </c>
    </row>
    <row r="8" spans="1:9" ht="57" customHeight="1">
      <c r="A8" s="1177"/>
      <c r="B8" s="354" t="s">
        <v>642</v>
      </c>
      <c r="C8" s="354" t="s">
        <v>630</v>
      </c>
      <c r="D8" s="354" t="s">
        <v>631</v>
      </c>
      <c r="E8" s="354" t="s">
        <v>644</v>
      </c>
      <c r="F8" s="399" t="s">
        <v>601</v>
      </c>
      <c r="G8" s="322" t="s">
        <v>107</v>
      </c>
      <c r="H8" s="1126"/>
      <c r="I8" s="1128"/>
    </row>
    <row r="9" spans="1:9" ht="16.5" customHeight="1" thickBot="1">
      <c r="A9" s="216" t="s">
        <v>316</v>
      </c>
      <c r="B9" s="198">
        <v>279</v>
      </c>
      <c r="C9" s="33">
        <v>19</v>
      </c>
      <c r="D9" s="33">
        <v>46</v>
      </c>
      <c r="E9" s="33">
        <v>3</v>
      </c>
      <c r="F9" s="199">
        <v>0</v>
      </c>
      <c r="G9" s="102">
        <v>347</v>
      </c>
      <c r="H9" s="219">
        <f t="shared" ref="H9:H20" si="0">G9/$G$21%</f>
        <v>16.207379729098552</v>
      </c>
      <c r="I9" s="833" t="s">
        <v>315</v>
      </c>
    </row>
    <row r="10" spans="1:9" ht="16.5" customHeight="1" thickBot="1">
      <c r="A10" s="217">
        <v>-1</v>
      </c>
      <c r="B10" s="198">
        <v>585</v>
      </c>
      <c r="C10" s="33">
        <v>373</v>
      </c>
      <c r="D10" s="33">
        <v>60</v>
      </c>
      <c r="E10" s="33">
        <v>19</v>
      </c>
      <c r="F10" s="199">
        <v>0</v>
      </c>
      <c r="G10" s="102">
        <v>1037</v>
      </c>
      <c r="H10" s="220">
        <f>G10/$G$21%</f>
        <v>48.435310602522186</v>
      </c>
      <c r="I10" s="829">
        <v>-1</v>
      </c>
    </row>
    <row r="11" spans="1:9" ht="16.5" customHeight="1" thickBot="1">
      <c r="A11" s="218">
        <v>1</v>
      </c>
      <c r="B11" s="198">
        <v>9</v>
      </c>
      <c r="C11" s="33">
        <v>72</v>
      </c>
      <c r="D11" s="33">
        <v>9</v>
      </c>
      <c r="E11" s="33">
        <v>3</v>
      </c>
      <c r="F11" s="199">
        <v>0</v>
      </c>
      <c r="G11" s="102">
        <v>93</v>
      </c>
      <c r="H11" s="221">
        <f t="shared" si="0"/>
        <v>4.3437645959831857</v>
      </c>
      <c r="I11" s="830">
        <v>1</v>
      </c>
    </row>
    <row r="12" spans="1:9" ht="16.5" customHeight="1" thickBot="1">
      <c r="A12" s="217">
        <v>2</v>
      </c>
      <c r="B12" s="198">
        <v>16</v>
      </c>
      <c r="C12" s="33">
        <v>38</v>
      </c>
      <c r="D12" s="33">
        <v>1</v>
      </c>
      <c r="E12" s="33">
        <v>2</v>
      </c>
      <c r="F12" s="199">
        <v>0</v>
      </c>
      <c r="G12" s="102">
        <v>57</v>
      </c>
      <c r="H12" s="220">
        <f t="shared" si="0"/>
        <v>2.6623073330219524</v>
      </c>
      <c r="I12" s="829">
        <v>2</v>
      </c>
    </row>
    <row r="13" spans="1:9" ht="16.5" customHeight="1" thickBot="1">
      <c r="A13" s="218">
        <v>3</v>
      </c>
      <c r="B13" s="198">
        <v>17</v>
      </c>
      <c r="C13" s="33">
        <v>42</v>
      </c>
      <c r="D13" s="33">
        <v>4</v>
      </c>
      <c r="E13" s="33">
        <v>3</v>
      </c>
      <c r="F13" s="199">
        <v>0</v>
      </c>
      <c r="G13" s="102">
        <v>66</v>
      </c>
      <c r="H13" s="221">
        <f t="shared" si="0"/>
        <v>3.0826716487622607</v>
      </c>
      <c r="I13" s="830">
        <v>3</v>
      </c>
    </row>
    <row r="14" spans="1:9" ht="16.5" customHeight="1" thickBot="1">
      <c r="A14" s="217">
        <v>4</v>
      </c>
      <c r="B14" s="198">
        <v>16</v>
      </c>
      <c r="C14" s="33">
        <v>39</v>
      </c>
      <c r="D14" s="33">
        <v>4</v>
      </c>
      <c r="E14" s="33">
        <v>2</v>
      </c>
      <c r="F14" s="199">
        <v>0</v>
      </c>
      <c r="G14" s="102">
        <v>61</v>
      </c>
      <c r="H14" s="220">
        <f t="shared" si="0"/>
        <v>2.8491359177954227</v>
      </c>
      <c r="I14" s="829">
        <v>4</v>
      </c>
    </row>
    <row r="15" spans="1:9" ht="16.5" customHeight="1" thickBot="1">
      <c r="A15" s="218" t="s">
        <v>1066</v>
      </c>
      <c r="B15" s="198">
        <v>50</v>
      </c>
      <c r="C15" s="33">
        <v>128</v>
      </c>
      <c r="D15" s="33">
        <v>11</v>
      </c>
      <c r="E15" s="33">
        <v>4</v>
      </c>
      <c r="F15" s="199">
        <v>0</v>
      </c>
      <c r="G15" s="102">
        <v>193</v>
      </c>
      <c r="H15" s="221">
        <f t="shared" si="0"/>
        <v>9.0144792153199447</v>
      </c>
      <c r="I15" s="830" t="s">
        <v>314</v>
      </c>
    </row>
    <row r="16" spans="1:9" ht="16.5" customHeight="1" thickBot="1">
      <c r="A16" s="217" t="s">
        <v>1067</v>
      </c>
      <c r="B16" s="198">
        <v>38</v>
      </c>
      <c r="C16" s="33">
        <v>60</v>
      </c>
      <c r="D16" s="33">
        <v>7</v>
      </c>
      <c r="E16" s="33">
        <v>8</v>
      </c>
      <c r="F16" s="199">
        <v>0</v>
      </c>
      <c r="G16" s="102">
        <v>113</v>
      </c>
      <c r="H16" s="220">
        <f t="shared" si="0"/>
        <v>5.2779075198505367</v>
      </c>
      <c r="I16" s="829" t="s">
        <v>313</v>
      </c>
    </row>
    <row r="17" spans="1:9" ht="16.5" customHeight="1" thickBot="1">
      <c r="A17" s="218" t="s">
        <v>1068</v>
      </c>
      <c r="B17" s="198">
        <v>20</v>
      </c>
      <c r="C17" s="33">
        <v>33</v>
      </c>
      <c r="D17" s="33">
        <v>4</v>
      </c>
      <c r="E17" s="33">
        <v>2</v>
      </c>
      <c r="F17" s="199">
        <v>0</v>
      </c>
      <c r="G17" s="102">
        <v>59</v>
      </c>
      <c r="H17" s="221">
        <f t="shared" si="0"/>
        <v>2.7557216254086874</v>
      </c>
      <c r="I17" s="830" t="s">
        <v>133</v>
      </c>
    </row>
    <row r="18" spans="1:9" ht="16.5" customHeight="1" thickBot="1">
      <c r="A18" s="217" t="s">
        <v>1053</v>
      </c>
      <c r="B18" s="198">
        <v>14</v>
      </c>
      <c r="C18" s="33">
        <v>20</v>
      </c>
      <c r="D18" s="33">
        <v>3</v>
      </c>
      <c r="E18" s="33">
        <v>3</v>
      </c>
      <c r="F18" s="199">
        <v>0</v>
      </c>
      <c r="G18" s="102">
        <v>40</v>
      </c>
      <c r="H18" s="220">
        <f t="shared" si="0"/>
        <v>1.8682858477347033</v>
      </c>
      <c r="I18" s="829" t="s">
        <v>127</v>
      </c>
    </row>
    <row r="19" spans="1:9" ht="16.5" customHeight="1" thickBot="1">
      <c r="A19" s="218" t="s">
        <v>430</v>
      </c>
      <c r="B19" s="198">
        <v>27</v>
      </c>
      <c r="C19" s="33">
        <v>30</v>
      </c>
      <c r="D19" s="33">
        <v>4</v>
      </c>
      <c r="E19" s="33">
        <v>5</v>
      </c>
      <c r="F19" s="199">
        <v>0</v>
      </c>
      <c r="G19" s="102">
        <v>66</v>
      </c>
      <c r="H19" s="221">
        <f t="shared" si="0"/>
        <v>3.0826716487622607</v>
      </c>
      <c r="I19" s="830" t="s">
        <v>430</v>
      </c>
    </row>
    <row r="20" spans="1:9" ht="16.5" customHeight="1" thickBot="1">
      <c r="A20" s="222" t="s">
        <v>14</v>
      </c>
      <c r="B20" s="200">
        <v>3</v>
      </c>
      <c r="C20" s="201">
        <v>5</v>
      </c>
      <c r="D20" s="201">
        <v>1</v>
      </c>
      <c r="E20" s="201">
        <v>0</v>
      </c>
      <c r="F20" s="202">
        <v>0</v>
      </c>
      <c r="G20" s="102">
        <v>9</v>
      </c>
      <c r="H20" s="223">
        <f t="shared" si="0"/>
        <v>0.42036431574030825</v>
      </c>
      <c r="I20" s="831" t="s">
        <v>15</v>
      </c>
    </row>
    <row r="21" spans="1:9" ht="22.5" customHeight="1" thickBot="1">
      <c r="A21" s="28" t="s">
        <v>16</v>
      </c>
      <c r="B21" s="226">
        <f t="shared" ref="B21" si="1">SUM(B9:B20)</f>
        <v>1074</v>
      </c>
      <c r="C21" s="226">
        <f t="shared" ref="C21:G21" si="2">SUM(C9:C20)</f>
        <v>859</v>
      </c>
      <c r="D21" s="226">
        <f t="shared" si="2"/>
        <v>154</v>
      </c>
      <c r="E21" s="226">
        <f t="shared" si="2"/>
        <v>54</v>
      </c>
      <c r="F21" s="226">
        <f t="shared" si="2"/>
        <v>0</v>
      </c>
      <c r="G21" s="226">
        <f t="shared" si="2"/>
        <v>2141</v>
      </c>
      <c r="H21" s="225">
        <f t="shared" ref="H21" si="3">SUM(H9:H20)</f>
        <v>100.00000000000001</v>
      </c>
      <c r="I21" s="27" t="s">
        <v>55</v>
      </c>
    </row>
    <row r="22" spans="1:9" ht="22.5" customHeight="1">
      <c r="A22" s="13" t="s">
        <v>312</v>
      </c>
      <c r="B22" s="514">
        <f>B21/$G$21%</f>
        <v>50.163475011676788</v>
      </c>
      <c r="C22" s="514">
        <f t="shared" ref="C22:G22" si="4">C21/$G$21%</f>
        <v>40.121438580102755</v>
      </c>
      <c r="D22" s="514">
        <f t="shared" si="4"/>
        <v>7.192900513778608</v>
      </c>
      <c r="E22" s="514">
        <f t="shared" si="4"/>
        <v>2.5221858944418494</v>
      </c>
      <c r="F22" s="514">
        <f t="shared" si="4"/>
        <v>0</v>
      </c>
      <c r="G22" s="514">
        <f t="shared" si="4"/>
        <v>100</v>
      </c>
      <c r="H22" s="1122" t="s">
        <v>311</v>
      </c>
      <c r="I22" s="1123"/>
    </row>
  </sheetData>
  <mergeCells count="9">
    <mergeCell ref="A1:I1"/>
    <mergeCell ref="A2:I2"/>
    <mergeCell ref="A3:I3"/>
    <mergeCell ref="A4:I4"/>
    <mergeCell ref="H22:I22"/>
    <mergeCell ref="A7:A8"/>
    <mergeCell ref="B7:G7"/>
    <mergeCell ref="H7:H8"/>
    <mergeCell ref="I7:I8"/>
  </mergeCells>
  <printOptions horizontalCentered="1" verticalCentered="1"/>
  <pageMargins left="0" right="0" top="0" bottom="0" header="0" footer="0"/>
  <pageSetup paperSize="9" scale="97" orientation="landscape"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28"/>
  <sheetViews>
    <sheetView rightToLeft="1" view="pageBreakPreview" topLeftCell="A16" zoomScaleNormal="100" zoomScaleSheetLayoutView="100" workbookViewId="0">
      <selection activeCell="G11" sqref="G11"/>
    </sheetView>
  </sheetViews>
  <sheetFormatPr defaultColWidth="9.140625" defaultRowHeight="12.75"/>
  <cols>
    <col min="1" max="1" width="3.7109375" style="2" customWidth="1"/>
    <col min="2" max="2" width="37.7109375" style="2" customWidth="1"/>
    <col min="3" max="3" width="3.7109375" style="694" customWidth="1"/>
    <col min="4" max="4" width="37.7109375" style="2" customWidth="1"/>
    <col min="5" max="6" width="3.7109375" style="2" customWidth="1"/>
    <col min="7" max="16384" width="9.140625" style="2"/>
  </cols>
  <sheetData>
    <row r="1" spans="1:6" ht="33.75" customHeight="1">
      <c r="A1" s="1016" t="s">
        <v>897</v>
      </c>
      <c r="B1" s="1016"/>
      <c r="C1" s="963"/>
      <c r="D1" s="1017" t="s">
        <v>843</v>
      </c>
      <c r="E1" s="1017"/>
      <c r="F1" s="709"/>
    </row>
    <row r="2" spans="1:6" ht="55.5" customHeight="1" thickBot="1">
      <c r="A2" s="707"/>
      <c r="B2" s="688" t="s">
        <v>896</v>
      </c>
      <c r="C2" s="704"/>
      <c r="D2" s="1018" t="s">
        <v>895</v>
      </c>
      <c r="E2" s="1019"/>
    </row>
    <row r="3" spans="1:6" ht="27" customHeight="1" thickBot="1">
      <c r="A3" s="1020" t="s">
        <v>894</v>
      </c>
      <c r="B3" s="1021"/>
      <c r="C3" s="641"/>
      <c r="D3" s="1022" t="s">
        <v>893</v>
      </c>
      <c r="E3" s="1025"/>
      <c r="F3" s="637"/>
    </row>
    <row r="4" spans="1:6" ht="75" customHeight="1">
      <c r="A4" s="707"/>
      <c r="B4" s="688" t="s">
        <v>892</v>
      </c>
      <c r="C4" s="705"/>
      <c r="D4" s="1018" t="s">
        <v>891</v>
      </c>
      <c r="E4" s="1019"/>
      <c r="F4" s="708"/>
    </row>
    <row r="5" spans="1:6" ht="43.5" customHeight="1">
      <c r="A5" s="707"/>
      <c r="B5" s="707" t="s">
        <v>890</v>
      </c>
      <c r="C5" s="705"/>
      <c r="D5" s="1024" t="s">
        <v>889</v>
      </c>
      <c r="E5" s="1024"/>
    </row>
    <row r="6" spans="1:6" ht="33">
      <c r="A6" s="703" t="s">
        <v>876</v>
      </c>
      <c r="B6" s="688" t="s">
        <v>888</v>
      </c>
      <c r="C6" s="701"/>
      <c r="D6" s="706" t="s">
        <v>887</v>
      </c>
      <c r="E6" s="699" t="s">
        <v>876</v>
      </c>
    </row>
    <row r="7" spans="1:6" ht="49.5">
      <c r="A7" s="703" t="s">
        <v>873</v>
      </c>
      <c r="B7" s="688" t="s">
        <v>886</v>
      </c>
      <c r="C7" s="701"/>
      <c r="D7" s="706" t="s">
        <v>885</v>
      </c>
      <c r="E7" s="699" t="s">
        <v>873</v>
      </c>
    </row>
    <row r="8" spans="1:6" ht="48.75" customHeight="1" thickBot="1">
      <c r="A8" s="703" t="s">
        <v>870</v>
      </c>
      <c r="B8" s="688" t="s">
        <v>884</v>
      </c>
      <c r="C8" s="701"/>
      <c r="D8" s="706" t="s">
        <v>883</v>
      </c>
      <c r="E8" s="699" t="s">
        <v>870</v>
      </c>
    </row>
    <row r="9" spans="1:6" ht="30.75" customHeight="1" thickBot="1">
      <c r="A9" s="1020" t="s">
        <v>882</v>
      </c>
      <c r="B9" s="1021"/>
      <c r="C9" s="641"/>
      <c r="D9" s="1022" t="s">
        <v>881</v>
      </c>
      <c r="E9" s="1023"/>
    </row>
    <row r="10" spans="1:6" ht="106.5" customHeight="1">
      <c r="A10" s="688"/>
      <c r="B10" s="688" t="s">
        <v>880</v>
      </c>
      <c r="C10" s="705"/>
      <c r="D10" s="1018" t="s">
        <v>879</v>
      </c>
      <c r="E10" s="1019"/>
    </row>
    <row r="11" spans="1:6" ht="86.25">
      <c r="A11" s="703" t="s">
        <v>876</v>
      </c>
      <c r="B11" s="702" t="s">
        <v>878</v>
      </c>
      <c r="C11" s="704"/>
      <c r="D11" s="700" t="s">
        <v>877</v>
      </c>
      <c r="E11" s="699" t="s">
        <v>876</v>
      </c>
    </row>
    <row r="12" spans="1:6" ht="57.75">
      <c r="A12" s="703" t="s">
        <v>873</v>
      </c>
      <c r="B12" s="702" t="s">
        <v>875</v>
      </c>
      <c r="C12" s="701"/>
      <c r="D12" s="700" t="s">
        <v>874</v>
      </c>
      <c r="E12" s="699" t="s">
        <v>873</v>
      </c>
    </row>
    <row r="13" spans="1:6" ht="100.5">
      <c r="A13" s="703" t="s">
        <v>870</v>
      </c>
      <c r="B13" s="702" t="s">
        <v>872</v>
      </c>
      <c r="C13" s="701"/>
      <c r="D13" s="700" t="s">
        <v>871</v>
      </c>
      <c r="E13" s="699" t="s">
        <v>870</v>
      </c>
    </row>
    <row r="14" spans="1:6" ht="101.25" thickBot="1">
      <c r="A14" s="703" t="s">
        <v>867</v>
      </c>
      <c r="B14" s="702" t="s">
        <v>869</v>
      </c>
      <c r="C14" s="701"/>
      <c r="D14" s="700" t="s">
        <v>868</v>
      </c>
      <c r="E14" s="699" t="s">
        <v>867</v>
      </c>
    </row>
    <row r="15" spans="1:6" ht="27" customHeight="1" thickBot="1">
      <c r="A15" s="1020" t="s">
        <v>866</v>
      </c>
      <c r="B15" s="1021"/>
      <c r="C15" s="641"/>
      <c r="D15" s="1022" t="s">
        <v>865</v>
      </c>
      <c r="E15" s="1023"/>
    </row>
    <row r="16" spans="1:6" ht="91.5" customHeight="1" thickBot="1">
      <c r="B16" s="698" t="s">
        <v>864</v>
      </c>
      <c r="C16" s="697"/>
      <c r="D16" s="696" t="s">
        <v>863</v>
      </c>
      <c r="F16" s="696"/>
    </row>
    <row r="17" spans="1:11" ht="27" customHeight="1" thickBot="1">
      <c r="A17" s="1020" t="s">
        <v>862</v>
      </c>
      <c r="B17" s="1021"/>
      <c r="C17" s="641"/>
      <c r="D17" s="1022" t="s">
        <v>861</v>
      </c>
      <c r="E17" s="1023"/>
    </row>
    <row r="18" spans="1:11" ht="41.25" customHeight="1">
      <c r="B18" s="698" t="s">
        <v>860</v>
      </c>
      <c r="C18" s="697"/>
      <c r="D18" s="696" t="s">
        <v>859</v>
      </c>
      <c r="F18" s="696"/>
    </row>
    <row r="28" spans="1:11" ht="16.5">
      <c r="C28" s="2"/>
      <c r="K28" s="695"/>
    </row>
  </sheetData>
  <mergeCells count="14">
    <mergeCell ref="A1:B1"/>
    <mergeCell ref="D1:E1"/>
    <mergeCell ref="D2:E2"/>
    <mergeCell ref="A9:B9"/>
    <mergeCell ref="A17:B17"/>
    <mergeCell ref="A3:B3"/>
    <mergeCell ref="D9:E9"/>
    <mergeCell ref="D10:E10"/>
    <mergeCell ref="D17:E17"/>
    <mergeCell ref="D5:E5"/>
    <mergeCell ref="D4:E4"/>
    <mergeCell ref="D3:E3"/>
    <mergeCell ref="A15:B15"/>
    <mergeCell ref="D15:E15"/>
  </mergeCells>
  <printOptions horizontalCentered="1"/>
  <pageMargins left="0.74803149606299213" right="0.74803149606299213" top="1.1811023622047245" bottom="0.59055118110236227" header="0.51181102362204722" footer="0.51181102362204722"/>
  <pageSetup paperSize="9" scale="91" orientation="portrait" r:id="rId1"/>
  <headerFooter alignWithMargins="0"/>
  <rowBreaks count="1" manualBreakCount="1">
    <brk id="12" max="4"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O24"/>
  <sheetViews>
    <sheetView rightToLeft="1" view="pageBreakPreview" topLeftCell="A7" zoomScaleNormal="100" zoomScaleSheetLayoutView="100" workbookViewId="0">
      <selection activeCell="N23" sqref="N23"/>
    </sheetView>
  </sheetViews>
  <sheetFormatPr defaultColWidth="9.140625" defaultRowHeight="12.75"/>
  <cols>
    <col min="1" max="1" width="22.85546875" style="1" customWidth="1"/>
    <col min="2" max="2" width="13" style="1" customWidth="1"/>
    <col min="3" max="12" width="7.140625" style="1" customWidth="1"/>
    <col min="13" max="13" width="11.140625" style="1" customWidth="1"/>
    <col min="14" max="14" width="9.85546875" style="1" customWidth="1"/>
    <col min="15" max="15" width="21.28515625" style="1" customWidth="1"/>
    <col min="16" max="16384" width="9.140625" style="1"/>
  </cols>
  <sheetData>
    <row r="1" spans="1:15" ht="24" customHeight="1">
      <c r="A1" s="1129" t="s">
        <v>337</v>
      </c>
      <c r="B1" s="1129"/>
      <c r="C1" s="1129"/>
      <c r="D1" s="1129"/>
      <c r="E1" s="1129"/>
      <c r="F1" s="1129"/>
      <c r="G1" s="1129"/>
      <c r="H1" s="1129"/>
      <c r="I1" s="1129"/>
      <c r="J1" s="1129"/>
      <c r="K1" s="1129"/>
      <c r="L1" s="1129"/>
      <c r="M1" s="1129"/>
      <c r="N1" s="1129"/>
      <c r="O1" s="1129"/>
    </row>
    <row r="2" spans="1:15" ht="15.75" customHeight="1">
      <c r="A2" s="1100" t="s">
        <v>336</v>
      </c>
      <c r="B2" s="1100"/>
      <c r="C2" s="1100"/>
      <c r="D2" s="1100"/>
      <c r="E2" s="1100"/>
      <c r="F2" s="1100"/>
      <c r="G2" s="1100"/>
      <c r="H2" s="1100"/>
      <c r="I2" s="1100"/>
      <c r="J2" s="1100"/>
      <c r="K2" s="1100"/>
      <c r="L2" s="1100"/>
      <c r="M2" s="1100"/>
      <c r="N2" s="1100"/>
      <c r="O2" s="1100"/>
    </row>
    <row r="3" spans="1:15" ht="15.75" customHeight="1">
      <c r="A3" s="1100">
        <v>2021</v>
      </c>
      <c r="B3" s="1100"/>
      <c r="C3" s="1100"/>
      <c r="D3" s="1100"/>
      <c r="E3" s="1100"/>
      <c r="F3" s="1100"/>
      <c r="G3" s="1100"/>
      <c r="H3" s="1100"/>
      <c r="I3" s="1100"/>
      <c r="J3" s="1100"/>
      <c r="K3" s="1100"/>
      <c r="L3" s="1100"/>
      <c r="M3" s="1100"/>
      <c r="N3" s="1100"/>
      <c r="O3" s="1100"/>
    </row>
    <row r="4" spans="1:15" ht="18.75" customHeight="1">
      <c r="A4" s="1100" t="s">
        <v>52</v>
      </c>
      <c r="B4" s="1100"/>
      <c r="C4" s="1100"/>
      <c r="D4" s="1100"/>
      <c r="E4" s="1100"/>
      <c r="F4" s="1100"/>
      <c r="G4" s="1100"/>
      <c r="H4" s="1100"/>
      <c r="I4" s="1100"/>
      <c r="J4" s="1100"/>
      <c r="K4" s="1100"/>
      <c r="L4" s="1100"/>
      <c r="M4" s="1100"/>
      <c r="N4" s="1100"/>
      <c r="O4" s="1100"/>
    </row>
    <row r="5" spans="1:15" ht="18.75" customHeight="1">
      <c r="A5" s="373"/>
      <c r="B5" s="373"/>
      <c r="C5" s="373"/>
      <c r="D5" s="373"/>
      <c r="E5" s="373"/>
      <c r="F5" s="373"/>
      <c r="G5" s="373"/>
      <c r="H5" s="373"/>
      <c r="I5" s="373"/>
      <c r="J5" s="373"/>
      <c r="K5" s="373"/>
      <c r="L5" s="373"/>
      <c r="M5" s="373"/>
      <c r="N5" s="373"/>
      <c r="O5" s="373"/>
    </row>
    <row r="6" spans="1:15" s="29" customFormat="1" ht="16.5">
      <c r="A6" s="363" t="s">
        <v>485</v>
      </c>
      <c r="B6" s="364"/>
      <c r="C6" s="364"/>
      <c r="D6" s="364"/>
      <c r="E6" s="364"/>
      <c r="F6" s="364"/>
      <c r="G6" s="364"/>
      <c r="H6" s="364"/>
      <c r="I6" s="364"/>
      <c r="J6" s="364"/>
      <c r="K6" s="364"/>
      <c r="L6" s="364"/>
      <c r="M6" s="365"/>
      <c r="N6" s="370"/>
      <c r="O6" s="370" t="s">
        <v>486</v>
      </c>
    </row>
    <row r="7" spans="1:15" ht="27.75" customHeight="1" thickBot="1">
      <c r="A7" s="1204" t="s">
        <v>305</v>
      </c>
      <c r="B7" s="1206" t="s">
        <v>542</v>
      </c>
      <c r="C7" s="1207"/>
      <c r="D7" s="1207"/>
      <c r="E7" s="1207"/>
      <c r="F7" s="1207"/>
      <c r="G7" s="1207"/>
      <c r="H7" s="1207"/>
      <c r="I7" s="1207"/>
      <c r="J7" s="1207"/>
      <c r="K7" s="1207"/>
      <c r="L7" s="1207"/>
      <c r="M7" s="1207"/>
      <c r="N7" s="1207"/>
      <c r="O7" s="1208" t="s">
        <v>1069</v>
      </c>
    </row>
    <row r="8" spans="1:15" ht="42.75" customHeight="1">
      <c r="A8" s="1205"/>
      <c r="B8" s="328" t="s">
        <v>645</v>
      </c>
      <c r="C8" s="336">
        <v>-1</v>
      </c>
      <c r="D8" s="336">
        <v>1</v>
      </c>
      <c r="E8" s="336">
        <v>2</v>
      </c>
      <c r="F8" s="336">
        <v>3</v>
      </c>
      <c r="G8" s="336">
        <v>4</v>
      </c>
      <c r="H8" s="336" t="s">
        <v>1066</v>
      </c>
      <c r="I8" s="336" t="s">
        <v>1067</v>
      </c>
      <c r="J8" s="336" t="s">
        <v>1068</v>
      </c>
      <c r="K8" s="336" t="s">
        <v>1053</v>
      </c>
      <c r="L8" s="336" t="s">
        <v>430</v>
      </c>
      <c r="M8" s="337" t="s">
        <v>646</v>
      </c>
      <c r="N8" s="337" t="s">
        <v>115</v>
      </c>
      <c r="O8" s="1209"/>
    </row>
    <row r="9" spans="1:15" ht="16.5" thickBot="1">
      <c r="A9" s="21" t="s">
        <v>426</v>
      </c>
      <c r="B9" s="20">
        <v>0</v>
      </c>
      <c r="C9" s="20">
        <v>0</v>
      </c>
      <c r="D9" s="20">
        <v>0</v>
      </c>
      <c r="E9" s="20">
        <v>0</v>
      </c>
      <c r="F9" s="20">
        <v>0</v>
      </c>
      <c r="G9" s="20">
        <v>0</v>
      </c>
      <c r="H9" s="20">
        <v>0</v>
      </c>
      <c r="I9" s="20">
        <v>0</v>
      </c>
      <c r="J9" s="20">
        <v>0</v>
      </c>
      <c r="K9" s="20">
        <v>0</v>
      </c>
      <c r="L9" s="20">
        <v>0</v>
      </c>
      <c r="M9" s="20">
        <v>0</v>
      </c>
      <c r="N9" s="52">
        <v>0</v>
      </c>
      <c r="O9" s="828" t="s">
        <v>426</v>
      </c>
    </row>
    <row r="10" spans="1:15" ht="16.5" thickBot="1">
      <c r="A10" s="21" t="s">
        <v>127</v>
      </c>
      <c r="B10" s="227">
        <v>46</v>
      </c>
      <c r="C10" s="227">
        <v>29</v>
      </c>
      <c r="D10" s="227">
        <v>7</v>
      </c>
      <c r="E10" s="227">
        <v>7</v>
      </c>
      <c r="F10" s="227">
        <v>9</v>
      </c>
      <c r="G10" s="227">
        <v>1</v>
      </c>
      <c r="H10" s="227">
        <v>1</v>
      </c>
      <c r="I10" s="227">
        <v>0</v>
      </c>
      <c r="J10" s="227">
        <v>0</v>
      </c>
      <c r="K10" s="227">
        <v>0</v>
      </c>
      <c r="L10" s="227">
        <v>0</v>
      </c>
      <c r="M10" s="227">
        <v>0</v>
      </c>
      <c r="N10" s="52">
        <v>100</v>
      </c>
      <c r="O10" s="828" t="s">
        <v>127</v>
      </c>
    </row>
    <row r="11" spans="1:15" ht="16.5" thickBot="1">
      <c r="A11" s="21" t="s">
        <v>126</v>
      </c>
      <c r="B11" s="227">
        <v>115</v>
      </c>
      <c r="C11" s="227">
        <v>106</v>
      </c>
      <c r="D11" s="227">
        <v>23</v>
      </c>
      <c r="E11" s="227">
        <v>19</v>
      </c>
      <c r="F11" s="227">
        <v>12</v>
      </c>
      <c r="G11" s="227">
        <v>13</v>
      </c>
      <c r="H11" s="227">
        <v>24</v>
      </c>
      <c r="I11" s="227">
        <v>1</v>
      </c>
      <c r="J11" s="227">
        <v>0</v>
      </c>
      <c r="K11" s="227">
        <v>0</v>
      </c>
      <c r="L11" s="227">
        <v>0</v>
      </c>
      <c r="M11" s="227">
        <v>1</v>
      </c>
      <c r="N11" s="52">
        <v>314</v>
      </c>
      <c r="O11" s="828" t="s">
        <v>126</v>
      </c>
    </row>
    <row r="12" spans="1:15" ht="16.5" thickBot="1">
      <c r="A12" s="21" t="s">
        <v>125</v>
      </c>
      <c r="B12" s="227">
        <v>52</v>
      </c>
      <c r="C12" s="227">
        <v>120</v>
      </c>
      <c r="D12" s="227">
        <v>19</v>
      </c>
      <c r="E12" s="227">
        <v>5</v>
      </c>
      <c r="F12" s="227">
        <v>5</v>
      </c>
      <c r="G12" s="227">
        <v>11</v>
      </c>
      <c r="H12" s="227">
        <v>38</v>
      </c>
      <c r="I12" s="227">
        <v>18</v>
      </c>
      <c r="J12" s="227">
        <v>1</v>
      </c>
      <c r="K12" s="227">
        <v>0</v>
      </c>
      <c r="L12" s="227">
        <v>0</v>
      </c>
      <c r="M12" s="227">
        <v>2</v>
      </c>
      <c r="N12" s="52">
        <v>271</v>
      </c>
      <c r="O12" s="828" t="s">
        <v>125</v>
      </c>
    </row>
    <row r="13" spans="1:15" ht="16.5" thickBot="1">
      <c r="A13" s="21" t="s">
        <v>124</v>
      </c>
      <c r="B13" s="227">
        <v>21</v>
      </c>
      <c r="C13" s="227">
        <v>107</v>
      </c>
      <c r="D13" s="227">
        <v>2</v>
      </c>
      <c r="E13" s="227">
        <v>2</v>
      </c>
      <c r="F13" s="227">
        <v>2</v>
      </c>
      <c r="G13" s="227">
        <v>7</v>
      </c>
      <c r="H13" s="227">
        <v>15</v>
      </c>
      <c r="I13" s="227">
        <v>20</v>
      </c>
      <c r="J13" s="227">
        <v>11</v>
      </c>
      <c r="K13" s="227">
        <v>0</v>
      </c>
      <c r="L13" s="227">
        <v>0</v>
      </c>
      <c r="M13" s="227">
        <v>0</v>
      </c>
      <c r="N13" s="52">
        <v>187</v>
      </c>
      <c r="O13" s="828" t="s">
        <v>124</v>
      </c>
    </row>
    <row r="14" spans="1:15" ht="16.5" thickBot="1">
      <c r="A14" s="21" t="s">
        <v>123</v>
      </c>
      <c r="B14" s="227">
        <v>14</v>
      </c>
      <c r="C14" s="227">
        <v>79</v>
      </c>
      <c r="D14" s="227">
        <v>5</v>
      </c>
      <c r="E14" s="227">
        <v>3</v>
      </c>
      <c r="F14" s="227">
        <v>0</v>
      </c>
      <c r="G14" s="227">
        <v>2</v>
      </c>
      <c r="H14" s="227">
        <v>11</v>
      </c>
      <c r="I14" s="227">
        <v>5</v>
      </c>
      <c r="J14" s="227">
        <v>8</v>
      </c>
      <c r="K14" s="227">
        <v>7</v>
      </c>
      <c r="L14" s="227">
        <v>1</v>
      </c>
      <c r="M14" s="227">
        <v>2</v>
      </c>
      <c r="N14" s="52">
        <v>137</v>
      </c>
      <c r="O14" s="828" t="s">
        <v>123</v>
      </c>
    </row>
    <row r="15" spans="1:15" ht="16.5" thickBot="1">
      <c r="A15" s="21" t="s">
        <v>122</v>
      </c>
      <c r="B15" s="227">
        <v>9</v>
      </c>
      <c r="C15" s="227">
        <v>51</v>
      </c>
      <c r="D15" s="227">
        <v>4</v>
      </c>
      <c r="E15" s="227">
        <v>0</v>
      </c>
      <c r="F15" s="227">
        <v>0</v>
      </c>
      <c r="G15" s="227">
        <v>0</v>
      </c>
      <c r="H15" s="227">
        <v>4</v>
      </c>
      <c r="I15" s="227">
        <v>8</v>
      </c>
      <c r="J15" s="227">
        <v>7</v>
      </c>
      <c r="K15" s="227">
        <v>8</v>
      </c>
      <c r="L15" s="227">
        <v>3</v>
      </c>
      <c r="M15" s="227">
        <v>1</v>
      </c>
      <c r="N15" s="52">
        <v>95</v>
      </c>
      <c r="O15" s="828" t="s">
        <v>122</v>
      </c>
    </row>
    <row r="16" spans="1:15" ht="16.5" thickBot="1">
      <c r="A16" s="21" t="s">
        <v>121</v>
      </c>
      <c r="B16" s="227">
        <v>4</v>
      </c>
      <c r="C16" s="227">
        <v>45</v>
      </c>
      <c r="D16" s="227">
        <v>0</v>
      </c>
      <c r="E16" s="227">
        <v>1</v>
      </c>
      <c r="F16" s="227">
        <v>2</v>
      </c>
      <c r="G16" s="227">
        <v>0</v>
      </c>
      <c r="H16" s="227">
        <v>4</v>
      </c>
      <c r="I16" s="227">
        <v>1</v>
      </c>
      <c r="J16" s="227">
        <v>4</v>
      </c>
      <c r="K16" s="227">
        <v>8</v>
      </c>
      <c r="L16" s="227">
        <v>13</v>
      </c>
      <c r="M16" s="227">
        <v>0</v>
      </c>
      <c r="N16" s="52">
        <v>82</v>
      </c>
      <c r="O16" s="828" t="s">
        <v>121</v>
      </c>
    </row>
    <row r="17" spans="1:15" ht="16.5" thickBot="1">
      <c r="A17" s="21" t="s">
        <v>120</v>
      </c>
      <c r="B17" s="227">
        <v>8</v>
      </c>
      <c r="C17" s="227">
        <v>30</v>
      </c>
      <c r="D17" s="227">
        <v>3</v>
      </c>
      <c r="E17" s="227">
        <v>0</v>
      </c>
      <c r="F17" s="227">
        <v>1</v>
      </c>
      <c r="G17" s="227">
        <v>2</v>
      </c>
      <c r="H17" s="227">
        <v>3</v>
      </c>
      <c r="I17" s="227">
        <v>1</v>
      </c>
      <c r="J17" s="227">
        <v>1</v>
      </c>
      <c r="K17" s="227">
        <v>6</v>
      </c>
      <c r="L17" s="227">
        <v>10</v>
      </c>
      <c r="M17" s="227">
        <v>0</v>
      </c>
      <c r="N17" s="52">
        <v>65</v>
      </c>
      <c r="O17" s="828" t="s">
        <v>120</v>
      </c>
    </row>
    <row r="18" spans="1:15" ht="16.5" thickBot="1">
      <c r="A18" s="21" t="s">
        <v>119</v>
      </c>
      <c r="B18" s="227">
        <v>0</v>
      </c>
      <c r="C18" s="227">
        <v>16</v>
      </c>
      <c r="D18" s="227">
        <v>0</v>
      </c>
      <c r="E18" s="227">
        <v>1</v>
      </c>
      <c r="F18" s="227">
        <v>1</v>
      </c>
      <c r="G18" s="227">
        <v>1</v>
      </c>
      <c r="H18" s="227">
        <v>2</v>
      </c>
      <c r="I18" s="227">
        <v>2</v>
      </c>
      <c r="J18" s="227">
        <v>2</v>
      </c>
      <c r="K18" s="227">
        <v>0</v>
      </c>
      <c r="L18" s="227">
        <v>5</v>
      </c>
      <c r="M18" s="227">
        <v>0</v>
      </c>
      <c r="N18" s="52">
        <v>30</v>
      </c>
      <c r="O18" s="828" t="s">
        <v>119</v>
      </c>
    </row>
    <row r="19" spans="1:15" ht="16.5" thickBot="1">
      <c r="A19" s="21" t="s">
        <v>118</v>
      </c>
      <c r="B19" s="227">
        <v>2</v>
      </c>
      <c r="C19" s="227">
        <v>11</v>
      </c>
      <c r="D19" s="227">
        <v>0</v>
      </c>
      <c r="E19" s="227">
        <v>0</v>
      </c>
      <c r="F19" s="227">
        <v>0</v>
      </c>
      <c r="G19" s="227">
        <v>0</v>
      </c>
      <c r="H19" s="227">
        <v>2</v>
      </c>
      <c r="I19" s="227">
        <v>0</v>
      </c>
      <c r="J19" s="227">
        <v>1</v>
      </c>
      <c r="K19" s="227">
        <v>0</v>
      </c>
      <c r="L19" s="227">
        <v>5</v>
      </c>
      <c r="M19" s="227">
        <v>0</v>
      </c>
      <c r="N19" s="52">
        <v>21</v>
      </c>
      <c r="O19" s="828" t="s">
        <v>118</v>
      </c>
    </row>
    <row r="20" spans="1:15" ht="16.5" thickBot="1">
      <c r="A20" s="21" t="s">
        <v>117</v>
      </c>
      <c r="B20" s="227">
        <v>0</v>
      </c>
      <c r="C20" s="227">
        <v>4</v>
      </c>
      <c r="D20" s="227">
        <v>0</v>
      </c>
      <c r="E20" s="227">
        <v>0</v>
      </c>
      <c r="F20" s="227">
        <v>0</v>
      </c>
      <c r="G20" s="227">
        <v>1</v>
      </c>
      <c r="H20" s="227">
        <v>0</v>
      </c>
      <c r="I20" s="227">
        <v>1</v>
      </c>
      <c r="J20" s="227">
        <v>0</v>
      </c>
      <c r="K20" s="227">
        <v>0</v>
      </c>
      <c r="L20" s="227">
        <v>3</v>
      </c>
      <c r="M20" s="227">
        <v>1</v>
      </c>
      <c r="N20" s="52">
        <v>10</v>
      </c>
      <c r="O20" s="828" t="s">
        <v>117</v>
      </c>
    </row>
    <row r="21" spans="1:15" ht="16.5" thickBot="1">
      <c r="A21" s="21" t="s">
        <v>116</v>
      </c>
      <c r="B21" s="227">
        <v>0</v>
      </c>
      <c r="C21" s="227">
        <v>9</v>
      </c>
      <c r="D21" s="227">
        <v>0</v>
      </c>
      <c r="E21" s="227">
        <v>0</v>
      </c>
      <c r="F21" s="227">
        <v>0</v>
      </c>
      <c r="G21" s="227">
        <v>0</v>
      </c>
      <c r="H21" s="227">
        <v>1</v>
      </c>
      <c r="I21" s="227">
        <v>0</v>
      </c>
      <c r="J21" s="227">
        <v>0</v>
      </c>
      <c r="K21" s="227">
        <v>0</v>
      </c>
      <c r="L21" s="227">
        <v>2</v>
      </c>
      <c r="M21" s="227">
        <v>0</v>
      </c>
      <c r="N21" s="52">
        <v>12</v>
      </c>
      <c r="O21" s="828" t="s">
        <v>116</v>
      </c>
    </row>
    <row r="22" spans="1:15" ht="16.5" thickBot="1">
      <c r="A22" s="845" t="s">
        <v>14</v>
      </c>
      <c r="B22" s="228">
        <v>0</v>
      </c>
      <c r="C22" s="228">
        <v>0</v>
      </c>
      <c r="D22" s="228">
        <v>0</v>
      </c>
      <c r="E22" s="228">
        <v>0</v>
      </c>
      <c r="F22" s="228">
        <v>0</v>
      </c>
      <c r="G22" s="228">
        <v>0</v>
      </c>
      <c r="H22" s="228">
        <v>0</v>
      </c>
      <c r="I22" s="228">
        <v>0</v>
      </c>
      <c r="J22" s="228">
        <v>0</v>
      </c>
      <c r="K22" s="228">
        <v>0</v>
      </c>
      <c r="L22" s="228">
        <v>0</v>
      </c>
      <c r="M22" s="228">
        <v>0</v>
      </c>
      <c r="N22" s="52">
        <v>0</v>
      </c>
      <c r="O22" s="846" t="s">
        <v>15</v>
      </c>
    </row>
    <row r="23" spans="1:15" ht="21" customHeight="1">
      <c r="A23" s="84" t="s">
        <v>16</v>
      </c>
      <c r="B23" s="85">
        <f>SUM(B9:B22)</f>
        <v>271</v>
      </c>
      <c r="C23" s="85">
        <f t="shared" ref="C23:M23" si="0">SUM(C9:C22)</f>
        <v>607</v>
      </c>
      <c r="D23" s="85">
        <f t="shared" si="0"/>
        <v>63</v>
      </c>
      <c r="E23" s="85">
        <f t="shared" si="0"/>
        <v>38</v>
      </c>
      <c r="F23" s="85">
        <f>SUM(F9:F22)</f>
        <v>32</v>
      </c>
      <c r="G23" s="85">
        <f t="shared" si="0"/>
        <v>38</v>
      </c>
      <c r="H23" s="85">
        <f t="shared" si="0"/>
        <v>105</v>
      </c>
      <c r="I23" s="85">
        <f>SUM(I9:I22)</f>
        <v>57</v>
      </c>
      <c r="J23" s="85">
        <f t="shared" si="0"/>
        <v>35</v>
      </c>
      <c r="K23" s="85">
        <f t="shared" si="0"/>
        <v>29</v>
      </c>
      <c r="L23" s="85">
        <f t="shared" si="0"/>
        <v>42</v>
      </c>
      <c r="M23" s="85">
        <f t="shared" si="0"/>
        <v>7</v>
      </c>
      <c r="N23" s="99">
        <f>SUM(N8:N22)</f>
        <v>1324</v>
      </c>
      <c r="O23" s="86" t="s">
        <v>55</v>
      </c>
    </row>
    <row r="24" spans="1:15" s="920" customFormat="1" ht="16.5" customHeight="1">
      <c r="A24" s="923" t="s">
        <v>335</v>
      </c>
      <c r="O24" s="922" t="s">
        <v>1087</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24"/>
  <sheetViews>
    <sheetView rightToLeft="1" view="pageBreakPreview" zoomScaleNormal="100" zoomScaleSheetLayoutView="100" workbookViewId="0">
      <selection activeCell="N23" sqref="N23"/>
    </sheetView>
  </sheetViews>
  <sheetFormatPr defaultColWidth="9.140625" defaultRowHeight="12.75"/>
  <cols>
    <col min="1" max="1" width="22.85546875" style="1" customWidth="1"/>
    <col min="2" max="2" width="13" style="1" customWidth="1"/>
    <col min="3" max="12" width="7.140625" style="1" customWidth="1"/>
    <col min="13" max="13" width="11.140625" style="1" customWidth="1"/>
    <col min="14" max="14" width="9.85546875" style="1" customWidth="1"/>
    <col min="15" max="15" width="21.28515625" style="1" customWidth="1"/>
    <col min="16" max="16384" width="9.140625" style="1"/>
  </cols>
  <sheetData>
    <row r="1" spans="1:15" ht="24" customHeight="1">
      <c r="A1" s="1129" t="s">
        <v>337</v>
      </c>
      <c r="B1" s="1129"/>
      <c r="C1" s="1129"/>
      <c r="D1" s="1129"/>
      <c r="E1" s="1129"/>
      <c r="F1" s="1129"/>
      <c r="G1" s="1129"/>
      <c r="H1" s="1129"/>
      <c r="I1" s="1129"/>
      <c r="J1" s="1129"/>
      <c r="K1" s="1129"/>
      <c r="L1" s="1129"/>
      <c r="M1" s="1129"/>
      <c r="N1" s="1129"/>
      <c r="O1" s="1129"/>
    </row>
    <row r="2" spans="1:15" ht="15.75" customHeight="1">
      <c r="A2" s="1100" t="s">
        <v>336</v>
      </c>
      <c r="B2" s="1100"/>
      <c r="C2" s="1100"/>
      <c r="D2" s="1100"/>
      <c r="E2" s="1100"/>
      <c r="F2" s="1100"/>
      <c r="G2" s="1100"/>
      <c r="H2" s="1100"/>
      <c r="I2" s="1100"/>
      <c r="J2" s="1100"/>
      <c r="K2" s="1100"/>
      <c r="L2" s="1100"/>
      <c r="M2" s="1100"/>
      <c r="N2" s="1100"/>
      <c r="O2" s="1100"/>
    </row>
    <row r="3" spans="1:15" ht="15.75" customHeight="1">
      <c r="A3" s="1100">
        <v>2021</v>
      </c>
      <c r="B3" s="1100"/>
      <c r="C3" s="1100"/>
      <c r="D3" s="1100"/>
      <c r="E3" s="1100"/>
      <c r="F3" s="1100"/>
      <c r="G3" s="1100"/>
      <c r="H3" s="1100"/>
      <c r="I3" s="1100"/>
      <c r="J3" s="1100"/>
      <c r="K3" s="1100"/>
      <c r="L3" s="1100"/>
      <c r="M3" s="1100"/>
      <c r="N3" s="1100"/>
      <c r="O3" s="1100"/>
    </row>
    <row r="4" spans="1:15" ht="18.75" customHeight="1">
      <c r="A4" s="1100" t="s">
        <v>51</v>
      </c>
      <c r="B4" s="1100"/>
      <c r="C4" s="1100"/>
      <c r="D4" s="1100"/>
      <c r="E4" s="1100"/>
      <c r="F4" s="1100"/>
      <c r="G4" s="1100"/>
      <c r="H4" s="1100"/>
      <c r="I4" s="1100"/>
      <c r="J4" s="1100"/>
      <c r="K4" s="1100"/>
      <c r="L4" s="1100"/>
      <c r="M4" s="1100"/>
      <c r="N4" s="1100"/>
      <c r="O4" s="1100"/>
    </row>
    <row r="5" spans="1:15" ht="18.75" customHeight="1">
      <c r="A5" s="373"/>
      <c r="B5" s="373"/>
      <c r="C5" s="373"/>
      <c r="D5" s="373"/>
      <c r="E5" s="373"/>
      <c r="F5" s="373"/>
      <c r="G5" s="373"/>
      <c r="H5" s="373"/>
      <c r="I5" s="373"/>
      <c r="J5" s="373"/>
      <c r="K5" s="373"/>
      <c r="L5" s="373"/>
      <c r="M5" s="373"/>
      <c r="N5" s="373"/>
      <c r="O5" s="373"/>
    </row>
    <row r="6" spans="1:15" s="29" customFormat="1" ht="16.5">
      <c r="A6" s="363" t="s">
        <v>489</v>
      </c>
      <c r="B6" s="364"/>
      <c r="C6" s="364"/>
      <c r="D6" s="364"/>
      <c r="E6" s="364"/>
      <c r="F6" s="364"/>
      <c r="G6" s="364"/>
      <c r="H6" s="364"/>
      <c r="I6" s="364"/>
      <c r="J6" s="364"/>
      <c r="K6" s="364"/>
      <c r="L6" s="364"/>
      <c r="M6" s="365"/>
      <c r="N6" s="370"/>
      <c r="O6" s="370" t="s">
        <v>490</v>
      </c>
    </row>
    <row r="7" spans="1:15" ht="27.75" customHeight="1" thickBot="1">
      <c r="A7" s="1204" t="s">
        <v>305</v>
      </c>
      <c r="B7" s="1206" t="s">
        <v>542</v>
      </c>
      <c r="C7" s="1207"/>
      <c r="D7" s="1207"/>
      <c r="E7" s="1207"/>
      <c r="F7" s="1207"/>
      <c r="G7" s="1207"/>
      <c r="H7" s="1207"/>
      <c r="I7" s="1207"/>
      <c r="J7" s="1207"/>
      <c r="K7" s="1207"/>
      <c r="L7" s="1207"/>
      <c r="M7" s="1207"/>
      <c r="N7" s="1207"/>
      <c r="O7" s="1208" t="s">
        <v>1069</v>
      </c>
    </row>
    <row r="8" spans="1:15" ht="42.75" customHeight="1">
      <c r="A8" s="1205"/>
      <c r="B8" s="328" t="s">
        <v>645</v>
      </c>
      <c r="C8" s="336">
        <v>-1</v>
      </c>
      <c r="D8" s="336">
        <v>1</v>
      </c>
      <c r="E8" s="336">
        <v>2</v>
      </c>
      <c r="F8" s="336">
        <v>3</v>
      </c>
      <c r="G8" s="336">
        <v>4</v>
      </c>
      <c r="H8" s="336" t="s">
        <v>1066</v>
      </c>
      <c r="I8" s="336" t="s">
        <v>1067</v>
      </c>
      <c r="J8" s="336" t="s">
        <v>1068</v>
      </c>
      <c r="K8" s="336" t="s">
        <v>1053</v>
      </c>
      <c r="L8" s="336" t="s">
        <v>430</v>
      </c>
      <c r="M8" s="337" t="s">
        <v>646</v>
      </c>
      <c r="N8" s="337" t="s">
        <v>115</v>
      </c>
      <c r="O8" s="1209"/>
    </row>
    <row r="9" spans="1:15" ht="16.5" thickBot="1">
      <c r="A9" s="21" t="s">
        <v>426</v>
      </c>
      <c r="B9" s="20">
        <v>1</v>
      </c>
      <c r="C9" s="20">
        <v>0</v>
      </c>
      <c r="D9" s="20">
        <v>1</v>
      </c>
      <c r="E9" s="20">
        <v>1</v>
      </c>
      <c r="F9" s="20">
        <v>0</v>
      </c>
      <c r="G9" s="20">
        <v>0</v>
      </c>
      <c r="H9" s="20">
        <v>0</v>
      </c>
      <c r="I9" s="20">
        <v>0</v>
      </c>
      <c r="J9" s="20">
        <v>0</v>
      </c>
      <c r="K9" s="20">
        <v>0</v>
      </c>
      <c r="L9" s="20">
        <v>0</v>
      </c>
      <c r="M9" s="20">
        <v>0</v>
      </c>
      <c r="N9" s="52">
        <v>3</v>
      </c>
      <c r="O9" s="828" t="s">
        <v>426</v>
      </c>
    </row>
    <row r="10" spans="1:15" ht="16.5" thickBot="1">
      <c r="A10" s="103" t="s">
        <v>127</v>
      </c>
      <c r="B10" s="227">
        <v>5</v>
      </c>
      <c r="C10" s="227">
        <v>4</v>
      </c>
      <c r="D10" s="227">
        <v>0</v>
      </c>
      <c r="E10" s="227">
        <v>0</v>
      </c>
      <c r="F10" s="227">
        <v>0</v>
      </c>
      <c r="G10" s="227">
        <v>0</v>
      </c>
      <c r="H10" s="227">
        <v>0</v>
      </c>
      <c r="I10" s="227">
        <v>0</v>
      </c>
      <c r="J10" s="227">
        <v>0</v>
      </c>
      <c r="K10" s="227">
        <v>0</v>
      </c>
      <c r="L10" s="227">
        <v>0</v>
      </c>
      <c r="M10" s="227">
        <v>0</v>
      </c>
      <c r="N10" s="52">
        <v>9</v>
      </c>
      <c r="O10" s="828" t="s">
        <v>127</v>
      </c>
    </row>
    <row r="11" spans="1:15" ht="16.5" thickBot="1">
      <c r="A11" s="103" t="s">
        <v>126</v>
      </c>
      <c r="B11" s="227">
        <v>23</v>
      </c>
      <c r="C11" s="227">
        <v>37</v>
      </c>
      <c r="D11" s="227">
        <v>4</v>
      </c>
      <c r="E11" s="227">
        <v>4</v>
      </c>
      <c r="F11" s="227">
        <v>4</v>
      </c>
      <c r="G11" s="227">
        <v>3</v>
      </c>
      <c r="H11" s="227">
        <v>3</v>
      </c>
      <c r="I11" s="227">
        <v>0</v>
      </c>
      <c r="J11" s="227">
        <v>0</v>
      </c>
      <c r="K11" s="227">
        <v>0</v>
      </c>
      <c r="L11" s="227">
        <v>0</v>
      </c>
      <c r="M11" s="227">
        <v>0</v>
      </c>
      <c r="N11" s="52">
        <v>78</v>
      </c>
      <c r="O11" s="828" t="s">
        <v>126</v>
      </c>
    </row>
    <row r="12" spans="1:15" ht="16.5" thickBot="1">
      <c r="A12" s="103" t="s">
        <v>125</v>
      </c>
      <c r="B12" s="227">
        <v>17</v>
      </c>
      <c r="C12" s="227">
        <v>82</v>
      </c>
      <c r="D12" s="227">
        <v>5</v>
      </c>
      <c r="E12" s="227">
        <v>7</v>
      </c>
      <c r="F12" s="227">
        <v>12</v>
      </c>
      <c r="G12" s="227">
        <v>7</v>
      </c>
      <c r="H12" s="227">
        <v>18</v>
      </c>
      <c r="I12" s="227">
        <v>1</v>
      </c>
      <c r="J12" s="227">
        <v>0</v>
      </c>
      <c r="K12" s="227">
        <v>0</v>
      </c>
      <c r="L12" s="227">
        <v>0</v>
      </c>
      <c r="M12" s="227">
        <v>0</v>
      </c>
      <c r="N12" s="52">
        <v>149</v>
      </c>
      <c r="O12" s="828" t="s">
        <v>125</v>
      </c>
    </row>
    <row r="13" spans="1:15" ht="16.5" thickBot="1">
      <c r="A13" s="103" t="s">
        <v>124</v>
      </c>
      <c r="B13" s="227">
        <v>13</v>
      </c>
      <c r="C13" s="227">
        <v>94</v>
      </c>
      <c r="D13" s="227">
        <v>7</v>
      </c>
      <c r="E13" s="227">
        <v>3</v>
      </c>
      <c r="F13" s="227">
        <v>7</v>
      </c>
      <c r="G13" s="227">
        <v>6</v>
      </c>
      <c r="H13" s="227">
        <v>33</v>
      </c>
      <c r="I13" s="227">
        <v>17</v>
      </c>
      <c r="J13" s="227">
        <v>2</v>
      </c>
      <c r="K13" s="227">
        <v>0</v>
      </c>
      <c r="L13" s="227">
        <v>0</v>
      </c>
      <c r="M13" s="227">
        <v>0</v>
      </c>
      <c r="N13" s="52">
        <v>182</v>
      </c>
      <c r="O13" s="828" t="s">
        <v>124</v>
      </c>
    </row>
    <row r="14" spans="1:15" ht="16.5" thickBot="1">
      <c r="A14" s="103" t="s">
        <v>123</v>
      </c>
      <c r="B14" s="227">
        <v>6</v>
      </c>
      <c r="C14" s="227">
        <v>78</v>
      </c>
      <c r="D14" s="227">
        <v>9</v>
      </c>
      <c r="E14" s="227">
        <v>2</v>
      </c>
      <c r="F14" s="227">
        <v>3</v>
      </c>
      <c r="G14" s="227">
        <v>4</v>
      </c>
      <c r="H14" s="227">
        <v>17</v>
      </c>
      <c r="I14" s="227">
        <v>22</v>
      </c>
      <c r="J14" s="227">
        <v>3</v>
      </c>
      <c r="K14" s="227">
        <v>2</v>
      </c>
      <c r="L14" s="227">
        <v>0</v>
      </c>
      <c r="M14" s="227">
        <v>1</v>
      </c>
      <c r="N14" s="52">
        <v>147</v>
      </c>
      <c r="O14" s="828" t="s">
        <v>123</v>
      </c>
    </row>
    <row r="15" spans="1:15" ht="16.5" thickBot="1">
      <c r="A15" s="103" t="s">
        <v>122</v>
      </c>
      <c r="B15" s="227">
        <v>1</v>
      </c>
      <c r="C15" s="227">
        <v>58</v>
      </c>
      <c r="D15" s="227">
        <v>2</v>
      </c>
      <c r="E15" s="227">
        <v>1</v>
      </c>
      <c r="F15" s="227">
        <v>4</v>
      </c>
      <c r="G15" s="227">
        <v>1</v>
      </c>
      <c r="H15" s="227">
        <v>8</v>
      </c>
      <c r="I15" s="227">
        <v>11</v>
      </c>
      <c r="J15" s="227">
        <v>10</v>
      </c>
      <c r="K15" s="227">
        <v>5</v>
      </c>
      <c r="L15" s="227">
        <v>0</v>
      </c>
      <c r="M15" s="227">
        <v>1</v>
      </c>
      <c r="N15" s="52">
        <v>102</v>
      </c>
      <c r="O15" s="828" t="s">
        <v>122</v>
      </c>
    </row>
    <row r="16" spans="1:15" ht="16.5" thickBot="1">
      <c r="A16" s="103" t="s">
        <v>121</v>
      </c>
      <c r="B16" s="227">
        <v>5</v>
      </c>
      <c r="C16" s="227">
        <v>32</v>
      </c>
      <c r="D16" s="227">
        <v>1</v>
      </c>
      <c r="E16" s="227">
        <v>1</v>
      </c>
      <c r="F16" s="227">
        <v>4</v>
      </c>
      <c r="G16" s="227">
        <v>1</v>
      </c>
      <c r="H16" s="227">
        <v>4</v>
      </c>
      <c r="I16" s="227">
        <v>2</v>
      </c>
      <c r="J16" s="227">
        <v>4</v>
      </c>
      <c r="K16" s="227">
        <v>2</v>
      </c>
      <c r="L16" s="227">
        <v>5</v>
      </c>
      <c r="M16" s="227">
        <v>0</v>
      </c>
      <c r="N16" s="52">
        <v>61</v>
      </c>
      <c r="O16" s="828" t="s">
        <v>121</v>
      </c>
    </row>
    <row r="17" spans="1:15" ht="16.5" thickBot="1">
      <c r="A17" s="103" t="s">
        <v>120</v>
      </c>
      <c r="B17" s="227">
        <v>3</v>
      </c>
      <c r="C17" s="227">
        <v>22</v>
      </c>
      <c r="D17" s="227">
        <v>0</v>
      </c>
      <c r="E17" s="227">
        <v>0</v>
      </c>
      <c r="F17" s="227">
        <v>0</v>
      </c>
      <c r="G17" s="227">
        <v>1</v>
      </c>
      <c r="H17" s="227">
        <v>2</v>
      </c>
      <c r="I17" s="227">
        <v>3</v>
      </c>
      <c r="J17" s="227">
        <v>2</v>
      </c>
      <c r="K17" s="227">
        <v>2</v>
      </c>
      <c r="L17" s="227">
        <v>8</v>
      </c>
      <c r="M17" s="227">
        <v>0</v>
      </c>
      <c r="N17" s="52">
        <v>43</v>
      </c>
      <c r="O17" s="828" t="s">
        <v>120</v>
      </c>
    </row>
    <row r="18" spans="1:15" ht="16.5" thickBot="1">
      <c r="A18" s="103" t="s">
        <v>119</v>
      </c>
      <c r="B18" s="227">
        <v>2</v>
      </c>
      <c r="C18" s="227">
        <v>9</v>
      </c>
      <c r="D18" s="227">
        <v>1</v>
      </c>
      <c r="E18" s="227">
        <v>0</v>
      </c>
      <c r="F18" s="227">
        <v>0</v>
      </c>
      <c r="G18" s="227">
        <v>0</v>
      </c>
      <c r="H18" s="227">
        <v>3</v>
      </c>
      <c r="I18" s="227">
        <v>0</v>
      </c>
      <c r="J18" s="227">
        <v>2</v>
      </c>
      <c r="K18" s="227">
        <v>0</v>
      </c>
      <c r="L18" s="227">
        <v>8</v>
      </c>
      <c r="M18" s="227">
        <v>0</v>
      </c>
      <c r="N18" s="52">
        <v>25</v>
      </c>
      <c r="O18" s="828" t="s">
        <v>119</v>
      </c>
    </row>
    <row r="19" spans="1:15" ht="16.5" thickBot="1">
      <c r="A19" s="103" t="s">
        <v>118</v>
      </c>
      <c r="B19" s="227">
        <v>0</v>
      </c>
      <c r="C19" s="227">
        <v>6</v>
      </c>
      <c r="D19" s="227">
        <v>0</v>
      </c>
      <c r="E19" s="227">
        <v>0</v>
      </c>
      <c r="F19" s="227">
        <v>0</v>
      </c>
      <c r="G19" s="227">
        <v>0</v>
      </c>
      <c r="H19" s="227">
        <v>0</v>
      </c>
      <c r="I19" s="227">
        <v>0</v>
      </c>
      <c r="J19" s="227">
        <v>0</v>
      </c>
      <c r="K19" s="227">
        <v>0</v>
      </c>
      <c r="L19" s="227">
        <v>1</v>
      </c>
      <c r="M19" s="227">
        <v>0</v>
      </c>
      <c r="N19" s="52">
        <v>7</v>
      </c>
      <c r="O19" s="828" t="s">
        <v>118</v>
      </c>
    </row>
    <row r="20" spans="1:15" ht="16.5" thickBot="1">
      <c r="A20" s="103" t="s">
        <v>117</v>
      </c>
      <c r="B20" s="227">
        <v>0</v>
      </c>
      <c r="C20" s="227">
        <v>1</v>
      </c>
      <c r="D20" s="227">
        <v>0</v>
      </c>
      <c r="E20" s="227">
        <v>0</v>
      </c>
      <c r="F20" s="227">
        <v>0</v>
      </c>
      <c r="G20" s="227">
        <v>0</v>
      </c>
      <c r="H20" s="227">
        <v>0</v>
      </c>
      <c r="I20" s="227">
        <v>0</v>
      </c>
      <c r="J20" s="227">
        <v>0</v>
      </c>
      <c r="K20" s="227">
        <v>0</v>
      </c>
      <c r="L20" s="227">
        <v>0</v>
      </c>
      <c r="M20" s="227">
        <v>0</v>
      </c>
      <c r="N20" s="52">
        <v>1</v>
      </c>
      <c r="O20" s="828" t="s">
        <v>117</v>
      </c>
    </row>
    <row r="21" spans="1:15" ht="16.5" thickBot="1">
      <c r="A21" s="103" t="s">
        <v>116</v>
      </c>
      <c r="B21" s="227">
        <v>0</v>
      </c>
      <c r="C21" s="227">
        <v>0</v>
      </c>
      <c r="D21" s="227">
        <v>0</v>
      </c>
      <c r="E21" s="227">
        <v>0</v>
      </c>
      <c r="F21" s="227">
        <v>0</v>
      </c>
      <c r="G21" s="227">
        <v>0</v>
      </c>
      <c r="H21" s="227">
        <v>0</v>
      </c>
      <c r="I21" s="227">
        <v>0</v>
      </c>
      <c r="J21" s="227">
        <v>0</v>
      </c>
      <c r="K21" s="227">
        <v>0</v>
      </c>
      <c r="L21" s="227">
        <v>1</v>
      </c>
      <c r="M21" s="227">
        <v>0</v>
      </c>
      <c r="N21" s="52">
        <v>1</v>
      </c>
      <c r="O21" s="828" t="s">
        <v>116</v>
      </c>
    </row>
    <row r="22" spans="1:15" ht="16.5" thickBot="1">
      <c r="A22" s="104" t="s">
        <v>14</v>
      </c>
      <c r="B22" s="228">
        <v>0</v>
      </c>
      <c r="C22" s="228">
        <v>7</v>
      </c>
      <c r="D22" s="228">
        <v>0</v>
      </c>
      <c r="E22" s="228">
        <v>0</v>
      </c>
      <c r="F22" s="228">
        <v>0</v>
      </c>
      <c r="G22" s="228">
        <v>0</v>
      </c>
      <c r="H22" s="228">
        <v>0</v>
      </c>
      <c r="I22" s="228">
        <v>0</v>
      </c>
      <c r="J22" s="228">
        <v>1</v>
      </c>
      <c r="K22" s="228">
        <v>0</v>
      </c>
      <c r="L22" s="228">
        <v>1</v>
      </c>
      <c r="M22" s="228">
        <v>0</v>
      </c>
      <c r="N22" s="52">
        <v>9</v>
      </c>
      <c r="O22" s="846" t="s">
        <v>15</v>
      </c>
    </row>
    <row r="23" spans="1:15" ht="21" customHeight="1">
      <c r="A23" s="84" t="s">
        <v>16</v>
      </c>
      <c r="B23" s="85">
        <f t="shared" ref="B23:M23" si="0">SUM(B9:B22)</f>
        <v>76</v>
      </c>
      <c r="C23" s="85">
        <f t="shared" si="0"/>
        <v>430</v>
      </c>
      <c r="D23" s="85">
        <f t="shared" si="0"/>
        <v>30</v>
      </c>
      <c r="E23" s="85">
        <f t="shared" si="0"/>
        <v>19</v>
      </c>
      <c r="F23" s="85">
        <f t="shared" si="0"/>
        <v>34</v>
      </c>
      <c r="G23" s="85">
        <f t="shared" si="0"/>
        <v>23</v>
      </c>
      <c r="H23" s="85">
        <f t="shared" si="0"/>
        <v>88</v>
      </c>
      <c r="I23" s="85">
        <f>SUM(I9:I22)</f>
        <v>56</v>
      </c>
      <c r="J23" s="85">
        <f t="shared" si="0"/>
        <v>24</v>
      </c>
      <c r="K23" s="85">
        <f t="shared" si="0"/>
        <v>11</v>
      </c>
      <c r="L23" s="85">
        <f t="shared" si="0"/>
        <v>24</v>
      </c>
      <c r="M23" s="85">
        <f t="shared" si="0"/>
        <v>2</v>
      </c>
      <c r="N23" s="99">
        <f>SUM(N8:N22)</f>
        <v>817</v>
      </c>
      <c r="O23" s="86" t="s">
        <v>55</v>
      </c>
    </row>
    <row r="24" spans="1:15" s="920" customFormat="1" ht="16.5" customHeight="1">
      <c r="A24" s="923" t="s">
        <v>335</v>
      </c>
      <c r="O24" s="922" t="s">
        <v>1087</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24"/>
  <sheetViews>
    <sheetView rightToLeft="1" view="pageBreakPreview" topLeftCell="A7" zoomScaleNormal="100" zoomScaleSheetLayoutView="100" workbookViewId="0">
      <selection activeCell="M27" sqref="M27"/>
    </sheetView>
  </sheetViews>
  <sheetFormatPr defaultColWidth="9.140625" defaultRowHeight="12.75"/>
  <cols>
    <col min="1" max="1" width="22.85546875" style="1" customWidth="1"/>
    <col min="2" max="2" width="13" style="1" customWidth="1"/>
    <col min="3" max="12" width="7.140625" style="1" customWidth="1"/>
    <col min="13" max="13" width="11.140625" style="1" customWidth="1"/>
    <col min="14" max="14" width="9.85546875" style="1" customWidth="1"/>
    <col min="15" max="15" width="21.28515625" style="1" customWidth="1"/>
    <col min="16" max="16384" width="9.140625" style="1"/>
  </cols>
  <sheetData>
    <row r="1" spans="1:15" ht="24" customHeight="1">
      <c r="A1" s="1129" t="s">
        <v>337</v>
      </c>
      <c r="B1" s="1129"/>
      <c r="C1" s="1129"/>
      <c r="D1" s="1129"/>
      <c r="E1" s="1129"/>
      <c r="F1" s="1129"/>
      <c r="G1" s="1129"/>
      <c r="H1" s="1129"/>
      <c r="I1" s="1129"/>
      <c r="J1" s="1129"/>
      <c r="K1" s="1129"/>
      <c r="L1" s="1129"/>
      <c r="M1" s="1129"/>
      <c r="N1" s="1129"/>
      <c r="O1" s="1129"/>
    </row>
    <row r="2" spans="1:15" ht="15.75" customHeight="1">
      <c r="A2" s="1100" t="s">
        <v>336</v>
      </c>
      <c r="B2" s="1100"/>
      <c r="C2" s="1100"/>
      <c r="D2" s="1100"/>
      <c r="E2" s="1100"/>
      <c r="F2" s="1100"/>
      <c r="G2" s="1100"/>
      <c r="H2" s="1100"/>
      <c r="I2" s="1100"/>
      <c r="J2" s="1100"/>
      <c r="K2" s="1100"/>
      <c r="L2" s="1100"/>
      <c r="M2" s="1100"/>
      <c r="N2" s="1100"/>
      <c r="O2" s="1100"/>
    </row>
    <row r="3" spans="1:15" ht="15.75" customHeight="1">
      <c r="A3" s="1100">
        <v>2021</v>
      </c>
      <c r="B3" s="1100"/>
      <c r="C3" s="1100"/>
      <c r="D3" s="1100"/>
      <c r="E3" s="1100"/>
      <c r="F3" s="1100"/>
      <c r="G3" s="1100"/>
      <c r="H3" s="1100"/>
      <c r="I3" s="1100"/>
      <c r="J3" s="1100"/>
      <c r="K3" s="1100"/>
      <c r="L3" s="1100"/>
      <c r="M3" s="1100"/>
      <c r="N3" s="1100"/>
      <c r="O3" s="1100"/>
    </row>
    <row r="4" spans="1:15" ht="18.75" customHeight="1">
      <c r="A4" s="1100" t="s">
        <v>1</v>
      </c>
      <c r="B4" s="1100"/>
      <c r="C4" s="1100"/>
      <c r="D4" s="1100"/>
      <c r="E4" s="1100"/>
      <c r="F4" s="1100"/>
      <c r="G4" s="1100"/>
      <c r="H4" s="1100"/>
      <c r="I4" s="1100"/>
      <c r="J4" s="1100"/>
      <c r="K4" s="1100"/>
      <c r="L4" s="1100"/>
      <c r="M4" s="1100"/>
      <c r="N4" s="1100"/>
      <c r="O4" s="1100"/>
    </row>
    <row r="5" spans="1:15" ht="18.75" customHeight="1">
      <c r="A5" s="373"/>
      <c r="B5" s="373"/>
      <c r="C5" s="373"/>
      <c r="D5" s="373"/>
      <c r="E5" s="373"/>
      <c r="F5" s="373"/>
      <c r="G5" s="373"/>
      <c r="H5" s="373"/>
      <c r="I5" s="373"/>
      <c r="J5" s="373"/>
      <c r="K5" s="373"/>
      <c r="L5" s="373"/>
      <c r="M5" s="373"/>
      <c r="N5" s="373"/>
      <c r="O5" s="373"/>
    </row>
    <row r="6" spans="1:15" s="29" customFormat="1" ht="16.5">
      <c r="A6" s="363" t="s">
        <v>487</v>
      </c>
      <c r="B6" s="364"/>
      <c r="C6" s="364"/>
      <c r="D6" s="364"/>
      <c r="E6" s="364"/>
      <c r="F6" s="364"/>
      <c r="G6" s="364"/>
      <c r="H6" s="364"/>
      <c r="I6" s="364"/>
      <c r="J6" s="364"/>
      <c r="K6" s="364"/>
      <c r="L6" s="364"/>
      <c r="M6" s="365"/>
      <c r="N6" s="370"/>
      <c r="O6" s="370" t="s">
        <v>488</v>
      </c>
    </row>
    <row r="7" spans="1:15" ht="27.75" customHeight="1" thickBot="1">
      <c r="A7" s="1204" t="s">
        <v>305</v>
      </c>
      <c r="B7" s="1210" t="s">
        <v>541</v>
      </c>
      <c r="C7" s="1207"/>
      <c r="D7" s="1207"/>
      <c r="E7" s="1207"/>
      <c r="F7" s="1207"/>
      <c r="G7" s="1207"/>
      <c r="H7" s="1207"/>
      <c r="I7" s="1207"/>
      <c r="J7" s="1207"/>
      <c r="K7" s="1207"/>
      <c r="L7" s="1207"/>
      <c r="M7" s="1207"/>
      <c r="N7" s="1207"/>
      <c r="O7" s="1208" t="s">
        <v>1069</v>
      </c>
    </row>
    <row r="8" spans="1:15" ht="42.75" customHeight="1">
      <c r="A8" s="1205"/>
      <c r="B8" s="328" t="s">
        <v>645</v>
      </c>
      <c r="C8" s="336">
        <v>-1</v>
      </c>
      <c r="D8" s="336">
        <v>1</v>
      </c>
      <c r="E8" s="336">
        <v>2</v>
      </c>
      <c r="F8" s="336">
        <v>3</v>
      </c>
      <c r="G8" s="336">
        <v>4</v>
      </c>
      <c r="H8" s="336" t="s">
        <v>1066</v>
      </c>
      <c r="I8" s="336" t="s">
        <v>1067</v>
      </c>
      <c r="J8" s="336" t="s">
        <v>1068</v>
      </c>
      <c r="K8" s="336" t="s">
        <v>1053</v>
      </c>
      <c r="L8" s="336" t="s">
        <v>430</v>
      </c>
      <c r="M8" s="337" t="s">
        <v>646</v>
      </c>
      <c r="N8" s="337" t="s">
        <v>115</v>
      </c>
      <c r="O8" s="1209"/>
    </row>
    <row r="9" spans="1:15" ht="16.5" thickBot="1">
      <c r="A9" s="21" t="s">
        <v>426</v>
      </c>
      <c r="B9" s="20">
        <v>1</v>
      </c>
      <c r="C9" s="20">
        <v>0</v>
      </c>
      <c r="D9" s="20">
        <v>1</v>
      </c>
      <c r="E9" s="20">
        <v>1</v>
      </c>
      <c r="F9" s="20">
        <v>0</v>
      </c>
      <c r="G9" s="20">
        <v>0</v>
      </c>
      <c r="H9" s="20">
        <v>0</v>
      </c>
      <c r="I9" s="20">
        <v>0</v>
      </c>
      <c r="J9" s="20">
        <v>0</v>
      </c>
      <c r="K9" s="20">
        <v>0</v>
      </c>
      <c r="L9" s="20">
        <v>0</v>
      </c>
      <c r="M9" s="20">
        <v>0</v>
      </c>
      <c r="N9" s="52">
        <v>3</v>
      </c>
      <c r="O9" s="828" t="s">
        <v>426</v>
      </c>
    </row>
    <row r="10" spans="1:15" ht="16.5" thickBot="1">
      <c r="A10" s="103" t="s">
        <v>127</v>
      </c>
      <c r="B10" s="227">
        <v>51</v>
      </c>
      <c r="C10" s="227">
        <v>33</v>
      </c>
      <c r="D10" s="227">
        <v>7</v>
      </c>
      <c r="E10" s="227">
        <v>7</v>
      </c>
      <c r="F10" s="227">
        <v>9</v>
      </c>
      <c r="G10" s="227">
        <v>1</v>
      </c>
      <c r="H10" s="227">
        <v>1</v>
      </c>
      <c r="I10" s="227">
        <v>0</v>
      </c>
      <c r="J10" s="227">
        <v>0</v>
      </c>
      <c r="K10" s="227">
        <v>0</v>
      </c>
      <c r="L10" s="227">
        <v>0</v>
      </c>
      <c r="M10" s="227">
        <v>0</v>
      </c>
      <c r="N10" s="52">
        <v>109</v>
      </c>
      <c r="O10" s="828" t="s">
        <v>127</v>
      </c>
    </row>
    <row r="11" spans="1:15" ht="16.5" thickBot="1">
      <c r="A11" s="103" t="s">
        <v>126</v>
      </c>
      <c r="B11" s="227">
        <v>138</v>
      </c>
      <c r="C11" s="227">
        <v>143</v>
      </c>
      <c r="D11" s="227">
        <v>27</v>
      </c>
      <c r="E11" s="227">
        <v>23</v>
      </c>
      <c r="F11" s="227">
        <v>16</v>
      </c>
      <c r="G11" s="227">
        <v>16</v>
      </c>
      <c r="H11" s="227">
        <v>27</v>
      </c>
      <c r="I11" s="227">
        <v>1</v>
      </c>
      <c r="J11" s="227">
        <v>0</v>
      </c>
      <c r="K11" s="227">
        <v>0</v>
      </c>
      <c r="L11" s="227">
        <v>0</v>
      </c>
      <c r="M11" s="227">
        <v>1</v>
      </c>
      <c r="N11" s="52">
        <v>392</v>
      </c>
      <c r="O11" s="828" t="s">
        <v>126</v>
      </c>
    </row>
    <row r="12" spans="1:15" ht="16.5" thickBot="1">
      <c r="A12" s="103" t="s">
        <v>125</v>
      </c>
      <c r="B12" s="227">
        <v>69</v>
      </c>
      <c r="C12" s="227">
        <v>202</v>
      </c>
      <c r="D12" s="227">
        <v>24</v>
      </c>
      <c r="E12" s="227">
        <v>12</v>
      </c>
      <c r="F12" s="227">
        <v>17</v>
      </c>
      <c r="G12" s="227">
        <v>18</v>
      </c>
      <c r="H12" s="227">
        <v>56</v>
      </c>
      <c r="I12" s="227">
        <v>19</v>
      </c>
      <c r="J12" s="227">
        <v>1</v>
      </c>
      <c r="K12" s="227">
        <v>0</v>
      </c>
      <c r="L12" s="227">
        <v>0</v>
      </c>
      <c r="M12" s="227">
        <v>2</v>
      </c>
      <c r="N12" s="52">
        <v>420</v>
      </c>
      <c r="O12" s="828" t="s">
        <v>125</v>
      </c>
    </row>
    <row r="13" spans="1:15" ht="16.5" thickBot="1">
      <c r="A13" s="103" t="s">
        <v>124</v>
      </c>
      <c r="B13" s="227">
        <v>34</v>
      </c>
      <c r="C13" s="227">
        <v>201</v>
      </c>
      <c r="D13" s="227">
        <v>9</v>
      </c>
      <c r="E13" s="227">
        <v>5</v>
      </c>
      <c r="F13" s="227">
        <v>9</v>
      </c>
      <c r="G13" s="227">
        <v>13</v>
      </c>
      <c r="H13" s="227">
        <v>48</v>
      </c>
      <c r="I13" s="227">
        <v>37</v>
      </c>
      <c r="J13" s="227">
        <v>13</v>
      </c>
      <c r="K13" s="227">
        <v>0</v>
      </c>
      <c r="L13" s="227">
        <v>0</v>
      </c>
      <c r="M13" s="227">
        <v>0</v>
      </c>
      <c r="N13" s="52">
        <v>369</v>
      </c>
      <c r="O13" s="828" t="s">
        <v>124</v>
      </c>
    </row>
    <row r="14" spans="1:15" ht="16.5" thickBot="1">
      <c r="A14" s="103" t="s">
        <v>123</v>
      </c>
      <c r="B14" s="227">
        <v>20</v>
      </c>
      <c r="C14" s="227">
        <v>157</v>
      </c>
      <c r="D14" s="227">
        <v>14</v>
      </c>
      <c r="E14" s="227">
        <v>5</v>
      </c>
      <c r="F14" s="227">
        <v>3</v>
      </c>
      <c r="G14" s="227">
        <v>6</v>
      </c>
      <c r="H14" s="227">
        <v>28</v>
      </c>
      <c r="I14" s="227">
        <v>27</v>
      </c>
      <c r="J14" s="227">
        <v>11</v>
      </c>
      <c r="K14" s="227">
        <v>9</v>
      </c>
      <c r="L14" s="227">
        <v>1</v>
      </c>
      <c r="M14" s="227">
        <v>3</v>
      </c>
      <c r="N14" s="52">
        <v>284</v>
      </c>
      <c r="O14" s="828" t="s">
        <v>123</v>
      </c>
    </row>
    <row r="15" spans="1:15" ht="16.5" thickBot="1">
      <c r="A15" s="103" t="s">
        <v>122</v>
      </c>
      <c r="B15" s="227">
        <v>10</v>
      </c>
      <c r="C15" s="227">
        <v>109</v>
      </c>
      <c r="D15" s="227">
        <v>6</v>
      </c>
      <c r="E15" s="227">
        <v>1</v>
      </c>
      <c r="F15" s="227">
        <v>4</v>
      </c>
      <c r="G15" s="227">
        <v>1</v>
      </c>
      <c r="H15" s="227">
        <v>12</v>
      </c>
      <c r="I15" s="227">
        <v>19</v>
      </c>
      <c r="J15" s="227">
        <v>17</v>
      </c>
      <c r="K15" s="227">
        <v>13</v>
      </c>
      <c r="L15" s="227">
        <v>3</v>
      </c>
      <c r="M15" s="227">
        <v>2</v>
      </c>
      <c r="N15" s="52">
        <v>197</v>
      </c>
      <c r="O15" s="828" t="s">
        <v>122</v>
      </c>
    </row>
    <row r="16" spans="1:15" ht="16.5" thickBot="1">
      <c r="A16" s="103" t="s">
        <v>121</v>
      </c>
      <c r="B16" s="227">
        <v>9</v>
      </c>
      <c r="C16" s="227">
        <v>77</v>
      </c>
      <c r="D16" s="227">
        <v>1</v>
      </c>
      <c r="E16" s="227">
        <v>2</v>
      </c>
      <c r="F16" s="227">
        <v>6</v>
      </c>
      <c r="G16" s="227">
        <v>1</v>
      </c>
      <c r="H16" s="227">
        <v>8</v>
      </c>
      <c r="I16" s="227">
        <v>3</v>
      </c>
      <c r="J16" s="227">
        <v>8</v>
      </c>
      <c r="K16" s="227">
        <v>10</v>
      </c>
      <c r="L16" s="227">
        <v>18</v>
      </c>
      <c r="M16" s="227">
        <v>0</v>
      </c>
      <c r="N16" s="52">
        <v>143</v>
      </c>
      <c r="O16" s="828" t="s">
        <v>121</v>
      </c>
    </row>
    <row r="17" spans="1:15" ht="16.5" thickBot="1">
      <c r="A17" s="103" t="s">
        <v>120</v>
      </c>
      <c r="B17" s="227">
        <v>11</v>
      </c>
      <c r="C17" s="227">
        <v>52</v>
      </c>
      <c r="D17" s="227">
        <v>3</v>
      </c>
      <c r="E17" s="227">
        <v>0</v>
      </c>
      <c r="F17" s="227">
        <v>1</v>
      </c>
      <c r="G17" s="227">
        <v>3</v>
      </c>
      <c r="H17" s="227">
        <v>5</v>
      </c>
      <c r="I17" s="227">
        <v>4</v>
      </c>
      <c r="J17" s="227">
        <v>3</v>
      </c>
      <c r="K17" s="227">
        <v>8</v>
      </c>
      <c r="L17" s="227">
        <v>18</v>
      </c>
      <c r="M17" s="227">
        <v>0</v>
      </c>
      <c r="N17" s="52">
        <v>108</v>
      </c>
      <c r="O17" s="828" t="s">
        <v>120</v>
      </c>
    </row>
    <row r="18" spans="1:15" ht="16.5" thickBot="1">
      <c r="A18" s="103" t="s">
        <v>119</v>
      </c>
      <c r="B18" s="227">
        <v>2</v>
      </c>
      <c r="C18" s="227">
        <v>25</v>
      </c>
      <c r="D18" s="227">
        <v>1</v>
      </c>
      <c r="E18" s="227">
        <v>1</v>
      </c>
      <c r="F18" s="227">
        <v>1</v>
      </c>
      <c r="G18" s="227">
        <v>1</v>
      </c>
      <c r="H18" s="227">
        <v>5</v>
      </c>
      <c r="I18" s="227">
        <v>2</v>
      </c>
      <c r="J18" s="227">
        <v>4</v>
      </c>
      <c r="K18" s="227">
        <v>0</v>
      </c>
      <c r="L18" s="227">
        <v>13</v>
      </c>
      <c r="M18" s="227">
        <v>0</v>
      </c>
      <c r="N18" s="52">
        <v>55</v>
      </c>
      <c r="O18" s="828" t="s">
        <v>119</v>
      </c>
    </row>
    <row r="19" spans="1:15" ht="16.5" thickBot="1">
      <c r="A19" s="103" t="s">
        <v>118</v>
      </c>
      <c r="B19" s="227">
        <v>2</v>
      </c>
      <c r="C19" s="227">
        <v>17</v>
      </c>
      <c r="D19" s="227">
        <v>0</v>
      </c>
      <c r="E19" s="227">
        <v>0</v>
      </c>
      <c r="F19" s="227">
        <v>0</v>
      </c>
      <c r="G19" s="227">
        <v>0</v>
      </c>
      <c r="H19" s="227">
        <v>2</v>
      </c>
      <c r="I19" s="227">
        <v>0</v>
      </c>
      <c r="J19" s="227">
        <v>1</v>
      </c>
      <c r="K19" s="227">
        <v>0</v>
      </c>
      <c r="L19" s="227">
        <v>6</v>
      </c>
      <c r="M19" s="227">
        <v>0</v>
      </c>
      <c r="N19" s="52">
        <v>28</v>
      </c>
      <c r="O19" s="828" t="s">
        <v>118</v>
      </c>
    </row>
    <row r="20" spans="1:15" ht="16.5" thickBot="1">
      <c r="A20" s="103" t="s">
        <v>117</v>
      </c>
      <c r="B20" s="227">
        <v>0</v>
      </c>
      <c r="C20" s="227">
        <v>5</v>
      </c>
      <c r="D20" s="227">
        <v>0</v>
      </c>
      <c r="E20" s="227">
        <v>0</v>
      </c>
      <c r="F20" s="227">
        <v>0</v>
      </c>
      <c r="G20" s="227">
        <v>1</v>
      </c>
      <c r="H20" s="227">
        <v>0</v>
      </c>
      <c r="I20" s="227">
        <v>1</v>
      </c>
      <c r="J20" s="227">
        <v>0</v>
      </c>
      <c r="K20" s="227">
        <v>0</v>
      </c>
      <c r="L20" s="227">
        <v>3</v>
      </c>
      <c r="M20" s="227">
        <v>1</v>
      </c>
      <c r="N20" s="52">
        <v>11</v>
      </c>
      <c r="O20" s="828" t="s">
        <v>117</v>
      </c>
    </row>
    <row r="21" spans="1:15" ht="16.5" thickBot="1">
      <c r="A21" s="103" t="s">
        <v>116</v>
      </c>
      <c r="B21" s="227">
        <v>0</v>
      </c>
      <c r="C21" s="227">
        <v>9</v>
      </c>
      <c r="D21" s="227">
        <v>0</v>
      </c>
      <c r="E21" s="227">
        <v>0</v>
      </c>
      <c r="F21" s="227">
        <v>0</v>
      </c>
      <c r="G21" s="227">
        <v>0</v>
      </c>
      <c r="H21" s="227">
        <v>1</v>
      </c>
      <c r="I21" s="227">
        <v>0</v>
      </c>
      <c r="J21" s="227">
        <v>0</v>
      </c>
      <c r="K21" s="227">
        <v>0</v>
      </c>
      <c r="L21" s="227">
        <v>3</v>
      </c>
      <c r="M21" s="227">
        <v>0</v>
      </c>
      <c r="N21" s="52">
        <v>13</v>
      </c>
      <c r="O21" s="828" t="s">
        <v>116</v>
      </c>
    </row>
    <row r="22" spans="1:15" ht="16.5" thickBot="1">
      <c r="A22" s="104" t="s">
        <v>14</v>
      </c>
      <c r="B22" s="228">
        <v>0</v>
      </c>
      <c r="C22" s="228">
        <v>7</v>
      </c>
      <c r="D22" s="228">
        <v>0</v>
      </c>
      <c r="E22" s="228">
        <v>0</v>
      </c>
      <c r="F22" s="228">
        <v>0</v>
      </c>
      <c r="G22" s="228">
        <v>0</v>
      </c>
      <c r="H22" s="228">
        <v>0</v>
      </c>
      <c r="I22" s="228">
        <v>0</v>
      </c>
      <c r="J22" s="228">
        <v>1</v>
      </c>
      <c r="K22" s="228">
        <v>0</v>
      </c>
      <c r="L22" s="228">
        <v>1</v>
      </c>
      <c r="M22" s="228">
        <v>0</v>
      </c>
      <c r="N22" s="52">
        <v>9</v>
      </c>
      <c r="O22" s="846" t="s">
        <v>15</v>
      </c>
    </row>
    <row r="23" spans="1:15" ht="21" customHeight="1">
      <c r="A23" s="84" t="s">
        <v>16</v>
      </c>
      <c r="B23" s="85">
        <f t="shared" ref="B23:M23" si="0">SUM(B9:B22)</f>
        <v>347</v>
      </c>
      <c r="C23" s="85">
        <f t="shared" si="0"/>
        <v>1037</v>
      </c>
      <c r="D23" s="85">
        <f t="shared" si="0"/>
        <v>93</v>
      </c>
      <c r="E23" s="85">
        <f t="shared" si="0"/>
        <v>57</v>
      </c>
      <c r="F23" s="85">
        <f t="shared" si="0"/>
        <v>66</v>
      </c>
      <c r="G23" s="85">
        <f t="shared" si="0"/>
        <v>61</v>
      </c>
      <c r="H23" s="85">
        <f t="shared" si="0"/>
        <v>193</v>
      </c>
      <c r="I23" s="85">
        <f t="shared" si="0"/>
        <v>113</v>
      </c>
      <c r="J23" s="85">
        <f t="shared" si="0"/>
        <v>59</v>
      </c>
      <c r="K23" s="85">
        <f t="shared" si="0"/>
        <v>40</v>
      </c>
      <c r="L23" s="85">
        <f t="shared" si="0"/>
        <v>66</v>
      </c>
      <c r="M23" s="85">
        <f t="shared" si="0"/>
        <v>9</v>
      </c>
      <c r="N23" s="99">
        <f>SUM(N8:N22)</f>
        <v>2141</v>
      </c>
      <c r="O23" s="86" t="s">
        <v>55</v>
      </c>
    </row>
    <row r="24" spans="1:15" s="920" customFormat="1" ht="16.5" customHeight="1">
      <c r="A24" s="923" t="s">
        <v>335</v>
      </c>
      <c r="O24" s="922" t="s">
        <v>1087</v>
      </c>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22"/>
  <sheetViews>
    <sheetView rightToLeft="1" view="pageBreakPreview" topLeftCell="A4" zoomScaleNormal="100" zoomScaleSheetLayoutView="100" workbookViewId="0">
      <selection activeCell="N20" sqref="N20"/>
    </sheetView>
  </sheetViews>
  <sheetFormatPr defaultColWidth="9.140625" defaultRowHeight="12.75"/>
  <cols>
    <col min="1" max="1" width="21.42578125" style="1" customWidth="1"/>
    <col min="2" max="2" width="13" style="1" customWidth="1"/>
    <col min="3" max="12" width="7.140625" style="1" customWidth="1"/>
    <col min="13" max="13" width="11.42578125" style="1" customWidth="1"/>
    <col min="14" max="14" width="9.85546875" style="1" customWidth="1"/>
    <col min="15" max="15" width="19.7109375" style="1" customWidth="1"/>
    <col min="16" max="16384" width="9.140625" style="1"/>
  </cols>
  <sheetData>
    <row r="1" spans="1:15" ht="24" customHeight="1">
      <c r="A1" s="1129" t="s">
        <v>340</v>
      </c>
      <c r="B1" s="1129"/>
      <c r="C1" s="1129"/>
      <c r="D1" s="1129"/>
      <c r="E1" s="1129"/>
      <c r="F1" s="1129"/>
      <c r="G1" s="1129"/>
      <c r="H1" s="1129"/>
      <c r="I1" s="1129"/>
      <c r="J1" s="1129"/>
      <c r="K1" s="1129"/>
      <c r="L1" s="1129"/>
      <c r="M1" s="1129"/>
      <c r="N1" s="1129"/>
      <c r="O1" s="1129"/>
    </row>
    <row r="2" spans="1:15" ht="15.75" customHeight="1">
      <c r="A2" s="1100" t="s">
        <v>339</v>
      </c>
      <c r="B2" s="1100"/>
      <c r="C2" s="1100"/>
      <c r="D2" s="1100"/>
      <c r="E2" s="1100"/>
      <c r="F2" s="1100"/>
      <c r="G2" s="1100"/>
      <c r="H2" s="1100"/>
      <c r="I2" s="1100"/>
      <c r="J2" s="1100"/>
      <c r="K2" s="1100"/>
      <c r="L2" s="1100"/>
      <c r="M2" s="1100"/>
      <c r="N2" s="1100"/>
      <c r="O2" s="1100"/>
    </row>
    <row r="3" spans="1:15" ht="15.75" customHeight="1">
      <c r="A3" s="1100">
        <v>2021</v>
      </c>
      <c r="B3" s="1100"/>
      <c r="C3" s="1100"/>
      <c r="D3" s="1100"/>
      <c r="E3" s="1100"/>
      <c r="F3" s="1100"/>
      <c r="G3" s="1100"/>
      <c r="H3" s="1100"/>
      <c r="I3" s="1100"/>
      <c r="J3" s="1100"/>
      <c r="K3" s="1100"/>
      <c r="L3" s="1100"/>
      <c r="M3" s="1100"/>
      <c r="N3" s="1100"/>
      <c r="O3" s="1100"/>
    </row>
    <row r="4" spans="1:15" ht="18.75" customHeight="1">
      <c r="A4" s="1100" t="s">
        <v>167</v>
      </c>
      <c r="B4" s="1100"/>
      <c r="C4" s="1100"/>
      <c r="D4" s="1100"/>
      <c r="E4" s="1100"/>
      <c r="F4" s="1100"/>
      <c r="G4" s="1100"/>
      <c r="H4" s="1100"/>
      <c r="I4" s="1100"/>
      <c r="J4" s="1100"/>
      <c r="K4" s="1100"/>
      <c r="L4" s="1100"/>
      <c r="M4" s="1100"/>
      <c r="N4" s="1100"/>
      <c r="O4" s="1100"/>
    </row>
    <row r="5" spans="1:15" ht="18.75" customHeight="1">
      <c r="A5" s="373"/>
      <c r="B5" s="373"/>
      <c r="C5" s="373"/>
      <c r="D5" s="373"/>
      <c r="E5" s="373"/>
      <c r="F5" s="373"/>
      <c r="G5" s="373"/>
      <c r="H5" s="373"/>
      <c r="I5" s="373"/>
      <c r="J5" s="373"/>
      <c r="K5" s="373"/>
      <c r="L5" s="373"/>
      <c r="M5" s="373"/>
      <c r="N5" s="373"/>
      <c r="O5" s="373"/>
    </row>
    <row r="6" spans="1:15" s="29" customFormat="1" ht="16.5">
      <c r="A6" s="363" t="s">
        <v>456</v>
      </c>
      <c r="B6" s="364"/>
      <c r="C6" s="364"/>
      <c r="D6" s="364"/>
      <c r="E6" s="364"/>
      <c r="F6" s="364"/>
      <c r="G6" s="364"/>
      <c r="H6" s="364"/>
      <c r="I6" s="364"/>
      <c r="J6" s="364"/>
      <c r="K6" s="364"/>
      <c r="L6" s="364"/>
      <c r="M6" s="365"/>
      <c r="N6" s="370"/>
      <c r="O6" s="370" t="s">
        <v>457</v>
      </c>
    </row>
    <row r="7" spans="1:15" ht="27.75" customHeight="1" thickBot="1">
      <c r="A7" s="1204" t="s">
        <v>308</v>
      </c>
      <c r="B7" s="1210" t="s">
        <v>338</v>
      </c>
      <c r="C7" s="1207"/>
      <c r="D7" s="1207"/>
      <c r="E7" s="1207"/>
      <c r="F7" s="1207"/>
      <c r="G7" s="1207"/>
      <c r="H7" s="1207"/>
      <c r="I7" s="1207"/>
      <c r="J7" s="1207"/>
      <c r="K7" s="1207"/>
      <c r="L7" s="1207"/>
      <c r="M7" s="1207"/>
      <c r="N7" s="1207"/>
      <c r="O7" s="1208" t="s">
        <v>1070</v>
      </c>
    </row>
    <row r="8" spans="1:15" ht="42.75" customHeight="1">
      <c r="A8" s="1205"/>
      <c r="B8" s="328" t="s">
        <v>645</v>
      </c>
      <c r="C8" s="336">
        <v>-1</v>
      </c>
      <c r="D8" s="336">
        <v>1</v>
      </c>
      <c r="E8" s="336">
        <v>2</v>
      </c>
      <c r="F8" s="336">
        <v>3</v>
      </c>
      <c r="G8" s="336">
        <v>4</v>
      </c>
      <c r="H8" s="336" t="s">
        <v>1066</v>
      </c>
      <c r="I8" s="336" t="s">
        <v>1067</v>
      </c>
      <c r="J8" s="336" t="s">
        <v>1068</v>
      </c>
      <c r="K8" s="336" t="s">
        <v>1053</v>
      </c>
      <c r="L8" s="336" t="s">
        <v>430</v>
      </c>
      <c r="M8" s="337" t="s">
        <v>646</v>
      </c>
      <c r="N8" s="337" t="s">
        <v>115</v>
      </c>
      <c r="O8" s="1209"/>
    </row>
    <row r="9" spans="1:15" ht="19.5" customHeight="1" thickBot="1">
      <c r="A9" s="21" t="s">
        <v>426</v>
      </c>
      <c r="B9" s="20">
        <v>14</v>
      </c>
      <c r="C9" s="20">
        <v>10</v>
      </c>
      <c r="D9" s="20">
        <v>3</v>
      </c>
      <c r="E9" s="20">
        <v>4</v>
      </c>
      <c r="F9" s="20">
        <v>0</v>
      </c>
      <c r="G9" s="20">
        <v>1</v>
      </c>
      <c r="H9" s="20">
        <v>0</v>
      </c>
      <c r="I9" s="20">
        <v>0</v>
      </c>
      <c r="J9" s="20">
        <v>0</v>
      </c>
      <c r="K9" s="20">
        <v>0</v>
      </c>
      <c r="L9" s="20">
        <v>0</v>
      </c>
      <c r="M9" s="20">
        <v>0</v>
      </c>
      <c r="N9" s="52">
        <v>32</v>
      </c>
      <c r="O9" s="828" t="s">
        <v>426</v>
      </c>
    </row>
    <row r="10" spans="1:15" ht="19.5" customHeight="1" thickBot="1">
      <c r="A10" s="103" t="s">
        <v>127</v>
      </c>
      <c r="B10" s="227">
        <v>115</v>
      </c>
      <c r="C10" s="227">
        <v>77</v>
      </c>
      <c r="D10" s="227">
        <v>19</v>
      </c>
      <c r="E10" s="227">
        <v>13</v>
      </c>
      <c r="F10" s="227">
        <v>11</v>
      </c>
      <c r="G10" s="227">
        <v>7</v>
      </c>
      <c r="H10" s="227">
        <v>6</v>
      </c>
      <c r="I10" s="227">
        <v>1</v>
      </c>
      <c r="J10" s="227">
        <v>0</v>
      </c>
      <c r="K10" s="227">
        <v>0</v>
      </c>
      <c r="L10" s="227">
        <v>0</v>
      </c>
      <c r="M10" s="227">
        <v>0</v>
      </c>
      <c r="N10" s="52">
        <v>249</v>
      </c>
      <c r="O10" s="828" t="s">
        <v>127</v>
      </c>
    </row>
    <row r="11" spans="1:15" ht="19.5" customHeight="1" thickBot="1">
      <c r="A11" s="103" t="s">
        <v>126</v>
      </c>
      <c r="B11" s="227">
        <v>77</v>
      </c>
      <c r="C11" s="227">
        <v>116</v>
      </c>
      <c r="D11" s="227">
        <v>18</v>
      </c>
      <c r="E11" s="227">
        <v>11</v>
      </c>
      <c r="F11" s="227">
        <v>11</v>
      </c>
      <c r="G11" s="227">
        <v>10</v>
      </c>
      <c r="H11" s="227">
        <v>36</v>
      </c>
      <c r="I11" s="227">
        <v>5</v>
      </c>
      <c r="J11" s="227">
        <v>1</v>
      </c>
      <c r="K11" s="227">
        <v>0</v>
      </c>
      <c r="L11" s="227">
        <v>0</v>
      </c>
      <c r="M11" s="227">
        <v>2</v>
      </c>
      <c r="N11" s="52">
        <v>287</v>
      </c>
      <c r="O11" s="828" t="s">
        <v>126</v>
      </c>
    </row>
    <row r="12" spans="1:15" ht="19.5" customHeight="1" thickBot="1">
      <c r="A12" s="103" t="s">
        <v>125</v>
      </c>
      <c r="B12" s="227">
        <v>18</v>
      </c>
      <c r="C12" s="227">
        <v>98</v>
      </c>
      <c r="D12" s="227">
        <v>9</v>
      </c>
      <c r="E12" s="227">
        <v>1</v>
      </c>
      <c r="F12" s="227">
        <v>3</v>
      </c>
      <c r="G12" s="227">
        <v>2</v>
      </c>
      <c r="H12" s="227">
        <v>24</v>
      </c>
      <c r="I12" s="227">
        <v>24</v>
      </c>
      <c r="J12" s="227">
        <v>3</v>
      </c>
      <c r="K12" s="227">
        <v>0</v>
      </c>
      <c r="L12" s="227">
        <v>0</v>
      </c>
      <c r="M12" s="227">
        <v>1</v>
      </c>
      <c r="N12" s="52">
        <v>183</v>
      </c>
      <c r="O12" s="828" t="s">
        <v>125</v>
      </c>
    </row>
    <row r="13" spans="1:15" ht="19.5" customHeight="1" thickBot="1">
      <c r="A13" s="103" t="s">
        <v>124</v>
      </c>
      <c r="B13" s="227">
        <v>15</v>
      </c>
      <c r="C13" s="227">
        <v>102</v>
      </c>
      <c r="D13" s="227">
        <v>2</v>
      </c>
      <c r="E13" s="227">
        <v>1</v>
      </c>
      <c r="F13" s="227">
        <v>1</v>
      </c>
      <c r="G13" s="227">
        <v>5</v>
      </c>
      <c r="H13" s="227">
        <v>9</v>
      </c>
      <c r="I13" s="227">
        <v>13</v>
      </c>
      <c r="J13" s="227">
        <v>14</v>
      </c>
      <c r="K13" s="227">
        <v>6</v>
      </c>
      <c r="L13" s="227">
        <v>0</v>
      </c>
      <c r="M13" s="227">
        <v>1</v>
      </c>
      <c r="N13" s="52">
        <v>169</v>
      </c>
      <c r="O13" s="828" t="s">
        <v>124</v>
      </c>
    </row>
    <row r="14" spans="1:15" ht="19.5" customHeight="1" thickBot="1">
      <c r="A14" s="103" t="s">
        <v>123</v>
      </c>
      <c r="B14" s="227">
        <v>7</v>
      </c>
      <c r="C14" s="227">
        <v>64</v>
      </c>
      <c r="D14" s="227">
        <v>4</v>
      </c>
      <c r="E14" s="227">
        <v>2</v>
      </c>
      <c r="F14" s="227">
        <v>1</v>
      </c>
      <c r="G14" s="227">
        <v>3</v>
      </c>
      <c r="H14" s="227">
        <v>7</v>
      </c>
      <c r="I14" s="227">
        <v>3</v>
      </c>
      <c r="J14" s="227">
        <v>7</v>
      </c>
      <c r="K14" s="227">
        <v>5</v>
      </c>
      <c r="L14" s="227">
        <v>3</v>
      </c>
      <c r="M14" s="227">
        <v>1</v>
      </c>
      <c r="N14" s="52">
        <v>107</v>
      </c>
      <c r="O14" s="828" t="s">
        <v>123</v>
      </c>
    </row>
    <row r="15" spans="1:15" ht="19.5" customHeight="1" thickBot="1">
      <c r="A15" s="103" t="s">
        <v>122</v>
      </c>
      <c r="B15" s="227">
        <v>4</v>
      </c>
      <c r="C15" s="227">
        <v>37</v>
      </c>
      <c r="D15" s="227">
        <v>5</v>
      </c>
      <c r="E15" s="227">
        <v>0</v>
      </c>
      <c r="F15" s="227">
        <v>2</v>
      </c>
      <c r="G15" s="227">
        <v>1</v>
      </c>
      <c r="H15" s="227">
        <v>5</v>
      </c>
      <c r="I15" s="227">
        <v>3</v>
      </c>
      <c r="J15" s="227">
        <v>3</v>
      </c>
      <c r="K15" s="227">
        <v>12</v>
      </c>
      <c r="L15" s="227">
        <v>8</v>
      </c>
      <c r="M15" s="227">
        <v>0</v>
      </c>
      <c r="N15" s="52">
        <v>80</v>
      </c>
      <c r="O15" s="828" t="s">
        <v>122</v>
      </c>
    </row>
    <row r="16" spans="1:15" ht="19.5" customHeight="1" thickBot="1">
      <c r="A16" s="103" t="s">
        <v>121</v>
      </c>
      <c r="B16" s="227">
        <v>3</v>
      </c>
      <c r="C16" s="227">
        <v>35</v>
      </c>
      <c r="D16" s="227">
        <v>0</v>
      </c>
      <c r="E16" s="227">
        <v>0</v>
      </c>
      <c r="F16" s="227">
        <v>1</v>
      </c>
      <c r="G16" s="227">
        <v>0</v>
      </c>
      <c r="H16" s="227">
        <v>1</v>
      </c>
      <c r="I16" s="227">
        <v>0</v>
      </c>
      <c r="J16" s="227">
        <v>2</v>
      </c>
      <c r="K16" s="227">
        <v>7</v>
      </c>
      <c r="L16" s="227">
        <v>14</v>
      </c>
      <c r="M16" s="227">
        <v>0</v>
      </c>
      <c r="N16" s="52">
        <v>63</v>
      </c>
      <c r="O16" s="828" t="s">
        <v>121</v>
      </c>
    </row>
    <row r="17" spans="1:15" ht="19.5" customHeight="1" thickBot="1">
      <c r="A17" s="103" t="s">
        <v>120</v>
      </c>
      <c r="B17" s="227">
        <v>1</v>
      </c>
      <c r="C17" s="227">
        <v>16</v>
      </c>
      <c r="D17" s="227">
        <v>0</v>
      </c>
      <c r="E17" s="227">
        <v>0</v>
      </c>
      <c r="F17" s="227">
        <v>1</v>
      </c>
      <c r="G17" s="227">
        <v>0</v>
      </c>
      <c r="H17" s="227">
        <v>0</v>
      </c>
      <c r="I17" s="227">
        <v>0</v>
      </c>
      <c r="J17" s="227">
        <v>0</v>
      </c>
      <c r="K17" s="227">
        <v>0</v>
      </c>
      <c r="L17" s="227">
        <v>11</v>
      </c>
      <c r="M17" s="227">
        <v>0</v>
      </c>
      <c r="N17" s="52">
        <v>29</v>
      </c>
      <c r="O17" s="828" t="s">
        <v>120</v>
      </c>
    </row>
    <row r="18" spans="1:15" ht="19.5" customHeight="1" thickBot="1">
      <c r="A18" s="103" t="s">
        <v>132</v>
      </c>
      <c r="B18" s="227">
        <v>0</v>
      </c>
      <c r="C18" s="227">
        <v>7</v>
      </c>
      <c r="D18" s="227">
        <v>0</v>
      </c>
      <c r="E18" s="227">
        <v>0</v>
      </c>
      <c r="F18" s="227">
        <v>0</v>
      </c>
      <c r="G18" s="227">
        <v>0</v>
      </c>
      <c r="H18" s="227">
        <v>0</v>
      </c>
      <c r="I18" s="227">
        <v>2</v>
      </c>
      <c r="J18" s="227">
        <v>0</v>
      </c>
      <c r="K18" s="227">
        <v>0</v>
      </c>
      <c r="L18" s="227">
        <v>8</v>
      </c>
      <c r="M18" s="227">
        <v>1</v>
      </c>
      <c r="N18" s="52">
        <v>18</v>
      </c>
      <c r="O18" s="828" t="s">
        <v>132</v>
      </c>
    </row>
    <row r="19" spans="1:15" ht="19.5" customHeight="1" thickBot="1">
      <c r="A19" s="229" t="s">
        <v>14</v>
      </c>
      <c r="B19" s="230">
        <v>0</v>
      </c>
      <c r="C19" s="230">
        <v>0</v>
      </c>
      <c r="D19" s="230">
        <v>0</v>
      </c>
      <c r="E19" s="230">
        <v>0</v>
      </c>
      <c r="F19" s="230">
        <v>0</v>
      </c>
      <c r="G19" s="230">
        <v>0</v>
      </c>
      <c r="H19" s="230">
        <v>0</v>
      </c>
      <c r="I19" s="230">
        <v>0</v>
      </c>
      <c r="J19" s="230">
        <v>0</v>
      </c>
      <c r="K19" s="230">
        <v>0</v>
      </c>
      <c r="L19" s="230">
        <v>0</v>
      </c>
      <c r="M19" s="230">
        <v>0</v>
      </c>
      <c r="N19" s="52">
        <v>0</v>
      </c>
      <c r="O19" s="847" t="s">
        <v>15</v>
      </c>
    </row>
    <row r="20" spans="1:15" ht="19.5" customHeight="1">
      <c r="A20" s="105" t="s">
        <v>16</v>
      </c>
      <c r="B20" s="106">
        <f t="shared" ref="B20:N20" si="0">SUM(B9:B19)</f>
        <v>254</v>
      </c>
      <c r="C20" s="106">
        <f t="shared" si="0"/>
        <v>562</v>
      </c>
      <c r="D20" s="106">
        <f t="shared" si="0"/>
        <v>60</v>
      </c>
      <c r="E20" s="106">
        <f t="shared" si="0"/>
        <v>32</v>
      </c>
      <c r="F20" s="106">
        <f t="shared" si="0"/>
        <v>31</v>
      </c>
      <c r="G20" s="106">
        <f t="shared" si="0"/>
        <v>29</v>
      </c>
      <c r="H20" s="106">
        <f t="shared" si="0"/>
        <v>88</v>
      </c>
      <c r="I20" s="106">
        <f t="shared" si="0"/>
        <v>51</v>
      </c>
      <c r="J20" s="106">
        <f t="shared" si="0"/>
        <v>30</v>
      </c>
      <c r="K20" s="106">
        <f t="shared" si="0"/>
        <v>30</v>
      </c>
      <c r="L20" s="106">
        <f t="shared" si="0"/>
        <v>44</v>
      </c>
      <c r="M20" s="106">
        <f t="shared" si="0"/>
        <v>6</v>
      </c>
      <c r="N20" s="107">
        <f t="shared" si="0"/>
        <v>1217</v>
      </c>
      <c r="O20" s="108" t="s">
        <v>55</v>
      </c>
    </row>
    <row r="21" spans="1:15" s="920" customFormat="1" ht="16.5" customHeight="1">
      <c r="A21" s="923" t="s">
        <v>335</v>
      </c>
      <c r="O21" s="922" t="s">
        <v>1087</v>
      </c>
    </row>
    <row r="22" spans="1:15">
      <c r="A22" s="74"/>
      <c r="O22" s="62"/>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22"/>
  <sheetViews>
    <sheetView rightToLeft="1" view="pageBreakPreview" topLeftCell="A4" zoomScaleNormal="100" zoomScaleSheetLayoutView="100" workbookViewId="0">
      <selection activeCell="M24" sqref="M24"/>
    </sheetView>
  </sheetViews>
  <sheetFormatPr defaultColWidth="9.140625" defaultRowHeight="12.75"/>
  <cols>
    <col min="1" max="1" width="21.42578125" style="1" customWidth="1"/>
    <col min="2" max="2" width="13" style="1" customWidth="1"/>
    <col min="3" max="12" width="7.140625" style="1" customWidth="1"/>
    <col min="13" max="13" width="11.42578125" style="1" customWidth="1"/>
    <col min="14" max="14" width="9.85546875" style="1" customWidth="1"/>
    <col min="15" max="15" width="19.7109375" style="1" customWidth="1"/>
    <col min="16" max="16384" width="9.140625" style="1"/>
  </cols>
  <sheetData>
    <row r="1" spans="1:15" ht="24" customHeight="1">
      <c r="A1" s="1129" t="s">
        <v>340</v>
      </c>
      <c r="B1" s="1129"/>
      <c r="C1" s="1129"/>
      <c r="D1" s="1129"/>
      <c r="E1" s="1129"/>
      <c r="F1" s="1129"/>
      <c r="G1" s="1129"/>
      <c r="H1" s="1129"/>
      <c r="I1" s="1129"/>
      <c r="J1" s="1129"/>
      <c r="K1" s="1129"/>
      <c r="L1" s="1129"/>
      <c r="M1" s="1129"/>
      <c r="N1" s="1129"/>
      <c r="O1" s="1129"/>
    </row>
    <row r="2" spans="1:15" ht="15.75" customHeight="1">
      <c r="A2" s="1100" t="s">
        <v>339</v>
      </c>
      <c r="B2" s="1100"/>
      <c r="C2" s="1100"/>
      <c r="D2" s="1100"/>
      <c r="E2" s="1100"/>
      <c r="F2" s="1100"/>
      <c r="G2" s="1100"/>
      <c r="H2" s="1100"/>
      <c r="I2" s="1100"/>
      <c r="J2" s="1100"/>
      <c r="K2" s="1100"/>
      <c r="L2" s="1100"/>
      <c r="M2" s="1100"/>
      <c r="N2" s="1100"/>
      <c r="O2" s="1100"/>
    </row>
    <row r="3" spans="1:15" ht="15.75" customHeight="1">
      <c r="A3" s="1100">
        <v>2021</v>
      </c>
      <c r="B3" s="1100"/>
      <c r="C3" s="1100"/>
      <c r="D3" s="1100"/>
      <c r="E3" s="1100"/>
      <c r="F3" s="1100"/>
      <c r="G3" s="1100"/>
      <c r="H3" s="1100"/>
      <c r="I3" s="1100"/>
      <c r="J3" s="1100"/>
      <c r="K3" s="1100"/>
      <c r="L3" s="1100"/>
      <c r="M3" s="1100"/>
      <c r="N3" s="1100"/>
      <c r="O3" s="1100"/>
    </row>
    <row r="4" spans="1:15" ht="18.75" customHeight="1">
      <c r="A4" s="1100" t="s">
        <v>172</v>
      </c>
      <c r="B4" s="1100"/>
      <c r="C4" s="1100"/>
      <c r="D4" s="1100"/>
      <c r="E4" s="1100"/>
      <c r="F4" s="1100"/>
      <c r="G4" s="1100"/>
      <c r="H4" s="1100"/>
      <c r="I4" s="1100"/>
      <c r="J4" s="1100"/>
      <c r="K4" s="1100"/>
      <c r="L4" s="1100"/>
      <c r="M4" s="1100"/>
      <c r="N4" s="1100"/>
      <c r="O4" s="1100"/>
    </row>
    <row r="5" spans="1:15" ht="18.75" customHeight="1">
      <c r="A5" s="373"/>
      <c r="B5" s="373"/>
      <c r="C5" s="373"/>
      <c r="D5" s="373"/>
      <c r="E5" s="373"/>
      <c r="F5" s="373"/>
      <c r="G5" s="373"/>
      <c r="H5" s="373"/>
      <c r="I5" s="373"/>
      <c r="J5" s="373"/>
      <c r="K5" s="373"/>
      <c r="L5" s="373"/>
      <c r="M5" s="373"/>
      <c r="N5" s="373"/>
      <c r="O5" s="373"/>
    </row>
    <row r="6" spans="1:15" s="29" customFormat="1" ht="16.5">
      <c r="A6" s="363" t="s">
        <v>460</v>
      </c>
      <c r="B6" s="364"/>
      <c r="C6" s="364"/>
      <c r="D6" s="364"/>
      <c r="E6" s="364"/>
      <c r="F6" s="364"/>
      <c r="G6" s="364"/>
      <c r="H6" s="364"/>
      <c r="I6" s="364"/>
      <c r="J6" s="364"/>
      <c r="K6" s="364"/>
      <c r="L6" s="364"/>
      <c r="M6" s="365"/>
      <c r="N6" s="370"/>
      <c r="O6" s="370" t="s">
        <v>461</v>
      </c>
    </row>
    <row r="7" spans="1:15" ht="27.75" customHeight="1" thickBot="1">
      <c r="A7" s="1204" t="s">
        <v>308</v>
      </c>
      <c r="B7" s="1210" t="s">
        <v>338</v>
      </c>
      <c r="C7" s="1207"/>
      <c r="D7" s="1207"/>
      <c r="E7" s="1207"/>
      <c r="F7" s="1207"/>
      <c r="G7" s="1207"/>
      <c r="H7" s="1207"/>
      <c r="I7" s="1207"/>
      <c r="J7" s="1207"/>
      <c r="K7" s="1207"/>
      <c r="L7" s="1207"/>
      <c r="M7" s="1207"/>
      <c r="N7" s="1207"/>
      <c r="O7" s="1208" t="s">
        <v>1070</v>
      </c>
    </row>
    <row r="8" spans="1:15" ht="42.75" customHeight="1">
      <c r="A8" s="1205"/>
      <c r="B8" s="328" t="s">
        <v>645</v>
      </c>
      <c r="C8" s="336">
        <v>-1</v>
      </c>
      <c r="D8" s="336">
        <v>1</v>
      </c>
      <c r="E8" s="336">
        <v>2</v>
      </c>
      <c r="F8" s="336">
        <v>3</v>
      </c>
      <c r="G8" s="336">
        <v>4</v>
      </c>
      <c r="H8" s="336" t="s">
        <v>1066</v>
      </c>
      <c r="I8" s="336" t="s">
        <v>1067</v>
      </c>
      <c r="J8" s="336" t="s">
        <v>1068</v>
      </c>
      <c r="K8" s="336" t="s">
        <v>1053</v>
      </c>
      <c r="L8" s="336" t="s">
        <v>430</v>
      </c>
      <c r="M8" s="337" t="s">
        <v>646</v>
      </c>
      <c r="N8" s="337" t="s">
        <v>115</v>
      </c>
      <c r="O8" s="1209"/>
    </row>
    <row r="9" spans="1:15" ht="19.5" customHeight="1" thickBot="1">
      <c r="A9" s="21" t="s">
        <v>426</v>
      </c>
      <c r="B9" s="20">
        <v>3</v>
      </c>
      <c r="C9" s="20">
        <v>5</v>
      </c>
      <c r="D9" s="20">
        <v>1</v>
      </c>
      <c r="E9" s="20">
        <v>0</v>
      </c>
      <c r="F9" s="20">
        <v>0</v>
      </c>
      <c r="G9" s="20">
        <v>0</v>
      </c>
      <c r="H9" s="20">
        <v>0</v>
      </c>
      <c r="I9" s="20">
        <v>0</v>
      </c>
      <c r="J9" s="20">
        <v>0</v>
      </c>
      <c r="K9" s="20">
        <v>0</v>
      </c>
      <c r="L9" s="20">
        <v>0</v>
      </c>
      <c r="M9" s="20">
        <v>0</v>
      </c>
      <c r="N9" s="52">
        <v>9</v>
      </c>
      <c r="O9" s="828" t="s">
        <v>426</v>
      </c>
    </row>
    <row r="10" spans="1:15" ht="19.5" customHeight="1" thickBot="1">
      <c r="A10" s="103" t="s">
        <v>127</v>
      </c>
      <c r="B10" s="227">
        <v>31</v>
      </c>
      <c r="C10" s="227">
        <v>28</v>
      </c>
      <c r="D10" s="227">
        <v>1</v>
      </c>
      <c r="E10" s="227">
        <v>6</v>
      </c>
      <c r="F10" s="227">
        <v>4</v>
      </c>
      <c r="G10" s="227">
        <v>5</v>
      </c>
      <c r="H10" s="227">
        <v>3</v>
      </c>
      <c r="I10" s="227">
        <v>0</v>
      </c>
      <c r="J10" s="227">
        <v>0</v>
      </c>
      <c r="K10" s="227">
        <v>0</v>
      </c>
      <c r="L10" s="227">
        <v>0</v>
      </c>
      <c r="M10" s="227">
        <v>0</v>
      </c>
      <c r="N10" s="52">
        <v>78</v>
      </c>
      <c r="O10" s="828" t="s">
        <v>127</v>
      </c>
    </row>
    <row r="11" spans="1:15" ht="19.5" customHeight="1" thickBot="1">
      <c r="A11" s="103" t="s">
        <v>126</v>
      </c>
      <c r="B11" s="227">
        <v>22</v>
      </c>
      <c r="C11" s="227">
        <v>71</v>
      </c>
      <c r="D11" s="227">
        <v>11</v>
      </c>
      <c r="E11" s="227">
        <v>5</v>
      </c>
      <c r="F11" s="227">
        <v>11</v>
      </c>
      <c r="G11" s="227">
        <v>7</v>
      </c>
      <c r="H11" s="227">
        <v>25</v>
      </c>
      <c r="I11" s="227">
        <v>5</v>
      </c>
      <c r="J11" s="227">
        <v>0</v>
      </c>
      <c r="K11" s="227">
        <v>0</v>
      </c>
      <c r="L11" s="227">
        <v>0</v>
      </c>
      <c r="M11" s="227">
        <v>0</v>
      </c>
      <c r="N11" s="52">
        <v>157</v>
      </c>
      <c r="O11" s="828" t="s">
        <v>126</v>
      </c>
    </row>
    <row r="12" spans="1:15" ht="19.5" customHeight="1" thickBot="1">
      <c r="A12" s="103" t="s">
        <v>125</v>
      </c>
      <c r="B12" s="227">
        <v>16</v>
      </c>
      <c r="C12" s="227">
        <v>93</v>
      </c>
      <c r="D12" s="227">
        <v>9</v>
      </c>
      <c r="E12" s="227">
        <v>9</v>
      </c>
      <c r="F12" s="227">
        <v>4</v>
      </c>
      <c r="G12" s="227">
        <v>6</v>
      </c>
      <c r="H12" s="227">
        <v>34</v>
      </c>
      <c r="I12" s="227">
        <v>16</v>
      </c>
      <c r="J12" s="227">
        <v>2</v>
      </c>
      <c r="K12" s="227">
        <v>0</v>
      </c>
      <c r="L12" s="227">
        <v>0</v>
      </c>
      <c r="M12" s="227">
        <v>1</v>
      </c>
      <c r="N12" s="52">
        <v>190</v>
      </c>
      <c r="O12" s="828" t="s">
        <v>125</v>
      </c>
    </row>
    <row r="13" spans="1:15" ht="19.5" customHeight="1" thickBot="1">
      <c r="A13" s="103" t="s">
        <v>124</v>
      </c>
      <c r="B13" s="227">
        <v>9</v>
      </c>
      <c r="C13" s="227">
        <v>115</v>
      </c>
      <c r="D13" s="227">
        <v>5</v>
      </c>
      <c r="E13" s="227">
        <v>0</v>
      </c>
      <c r="F13" s="227">
        <v>6</v>
      </c>
      <c r="G13" s="227">
        <v>5</v>
      </c>
      <c r="H13" s="227">
        <v>20</v>
      </c>
      <c r="I13" s="227">
        <v>21</v>
      </c>
      <c r="J13" s="227">
        <v>8</v>
      </c>
      <c r="K13" s="227">
        <v>1</v>
      </c>
      <c r="L13" s="227">
        <v>0</v>
      </c>
      <c r="M13" s="227">
        <v>2</v>
      </c>
      <c r="N13" s="52">
        <v>192</v>
      </c>
      <c r="O13" s="828" t="s">
        <v>124</v>
      </c>
    </row>
    <row r="14" spans="1:15" ht="19.5" customHeight="1" thickBot="1">
      <c r="A14" s="103" t="s">
        <v>123</v>
      </c>
      <c r="B14" s="227">
        <v>4</v>
      </c>
      <c r="C14" s="227">
        <v>69</v>
      </c>
      <c r="D14" s="227">
        <v>3</v>
      </c>
      <c r="E14" s="227">
        <v>2</v>
      </c>
      <c r="F14" s="227">
        <v>7</v>
      </c>
      <c r="G14" s="227">
        <v>3</v>
      </c>
      <c r="H14" s="227">
        <v>12</v>
      </c>
      <c r="I14" s="227">
        <v>11</v>
      </c>
      <c r="J14" s="227">
        <v>12</v>
      </c>
      <c r="K14" s="227">
        <v>7</v>
      </c>
      <c r="L14" s="227">
        <v>0</v>
      </c>
      <c r="M14" s="227">
        <v>0</v>
      </c>
      <c r="N14" s="52">
        <v>130</v>
      </c>
      <c r="O14" s="828" t="s">
        <v>123</v>
      </c>
    </row>
    <row r="15" spans="1:15" ht="19.5" customHeight="1" thickBot="1">
      <c r="A15" s="103" t="s">
        <v>122</v>
      </c>
      <c r="B15" s="227">
        <v>2</v>
      </c>
      <c r="C15" s="227">
        <v>44</v>
      </c>
      <c r="D15" s="227">
        <v>2</v>
      </c>
      <c r="E15" s="227">
        <v>3</v>
      </c>
      <c r="F15" s="227">
        <v>1</v>
      </c>
      <c r="G15" s="227">
        <v>3</v>
      </c>
      <c r="H15" s="227">
        <v>6</v>
      </c>
      <c r="I15" s="227">
        <v>3</v>
      </c>
      <c r="J15" s="227">
        <v>5</v>
      </c>
      <c r="K15" s="227">
        <v>2</v>
      </c>
      <c r="L15" s="227">
        <v>5</v>
      </c>
      <c r="M15" s="227">
        <v>0</v>
      </c>
      <c r="N15" s="52">
        <v>76</v>
      </c>
      <c r="O15" s="828" t="s">
        <v>122</v>
      </c>
    </row>
    <row r="16" spans="1:15" ht="19.5" customHeight="1" thickBot="1">
      <c r="A16" s="103" t="s">
        <v>121</v>
      </c>
      <c r="B16" s="227">
        <v>1</v>
      </c>
      <c r="C16" s="227">
        <v>23</v>
      </c>
      <c r="D16" s="227">
        <v>1</v>
      </c>
      <c r="E16" s="227">
        <v>0</v>
      </c>
      <c r="F16" s="227">
        <v>2</v>
      </c>
      <c r="G16" s="227">
        <v>0</v>
      </c>
      <c r="H16" s="227">
        <v>1</v>
      </c>
      <c r="I16" s="227">
        <v>1</v>
      </c>
      <c r="J16" s="227">
        <v>1</v>
      </c>
      <c r="K16" s="227">
        <v>0</v>
      </c>
      <c r="L16" s="227">
        <v>8</v>
      </c>
      <c r="M16" s="227">
        <v>0</v>
      </c>
      <c r="N16" s="52">
        <v>38</v>
      </c>
      <c r="O16" s="828" t="s">
        <v>121</v>
      </c>
    </row>
    <row r="17" spans="1:15" ht="19.5" customHeight="1" thickBot="1">
      <c r="A17" s="103" t="s">
        <v>120</v>
      </c>
      <c r="B17" s="227">
        <v>0</v>
      </c>
      <c r="C17" s="227">
        <v>5</v>
      </c>
      <c r="D17" s="227">
        <v>0</v>
      </c>
      <c r="E17" s="227">
        <v>0</v>
      </c>
      <c r="F17" s="227">
        <v>0</v>
      </c>
      <c r="G17" s="227">
        <v>0</v>
      </c>
      <c r="H17" s="227">
        <v>2</v>
      </c>
      <c r="I17" s="227">
        <v>1</v>
      </c>
      <c r="J17" s="227">
        <v>0</v>
      </c>
      <c r="K17" s="227">
        <v>0</v>
      </c>
      <c r="L17" s="227">
        <v>5</v>
      </c>
      <c r="M17" s="227">
        <v>0</v>
      </c>
      <c r="N17" s="52">
        <v>13</v>
      </c>
      <c r="O17" s="828" t="s">
        <v>120</v>
      </c>
    </row>
    <row r="18" spans="1:15" ht="19.5" customHeight="1" thickBot="1">
      <c r="A18" s="103" t="s">
        <v>132</v>
      </c>
      <c r="B18" s="227">
        <v>1</v>
      </c>
      <c r="C18" s="227">
        <v>2</v>
      </c>
      <c r="D18" s="227">
        <v>0</v>
      </c>
      <c r="E18" s="227">
        <v>0</v>
      </c>
      <c r="F18" s="227">
        <v>0</v>
      </c>
      <c r="G18" s="227">
        <v>0</v>
      </c>
      <c r="H18" s="227">
        <v>0</v>
      </c>
      <c r="I18" s="227">
        <v>1</v>
      </c>
      <c r="J18" s="227">
        <v>0</v>
      </c>
      <c r="K18" s="227">
        <v>0</v>
      </c>
      <c r="L18" s="227">
        <v>3</v>
      </c>
      <c r="M18" s="227">
        <v>0</v>
      </c>
      <c r="N18" s="52">
        <v>7</v>
      </c>
      <c r="O18" s="828" t="s">
        <v>132</v>
      </c>
    </row>
    <row r="19" spans="1:15" ht="19.5" customHeight="1" thickBot="1">
      <c r="A19" s="229" t="s">
        <v>14</v>
      </c>
      <c r="B19" s="230">
        <v>4</v>
      </c>
      <c r="C19" s="230">
        <v>20</v>
      </c>
      <c r="D19" s="230">
        <v>0</v>
      </c>
      <c r="E19" s="230">
        <v>0</v>
      </c>
      <c r="F19" s="230">
        <v>0</v>
      </c>
      <c r="G19" s="230">
        <v>3</v>
      </c>
      <c r="H19" s="230">
        <v>2</v>
      </c>
      <c r="I19" s="230">
        <v>3</v>
      </c>
      <c r="J19" s="230">
        <v>1</v>
      </c>
      <c r="K19" s="230">
        <v>0</v>
      </c>
      <c r="L19" s="230">
        <v>1</v>
      </c>
      <c r="M19" s="230">
        <v>0</v>
      </c>
      <c r="N19" s="52">
        <v>34</v>
      </c>
      <c r="O19" s="847" t="s">
        <v>15</v>
      </c>
    </row>
    <row r="20" spans="1:15" ht="19.5" customHeight="1">
      <c r="A20" s="105" t="s">
        <v>16</v>
      </c>
      <c r="B20" s="106">
        <f t="shared" ref="B20:N20" si="0">SUM(B9:B19)</f>
        <v>93</v>
      </c>
      <c r="C20" s="106">
        <f t="shared" si="0"/>
        <v>475</v>
      </c>
      <c r="D20" s="106">
        <f t="shared" si="0"/>
        <v>33</v>
      </c>
      <c r="E20" s="106">
        <f t="shared" si="0"/>
        <v>25</v>
      </c>
      <c r="F20" s="106">
        <f t="shared" si="0"/>
        <v>35</v>
      </c>
      <c r="G20" s="106">
        <f t="shared" si="0"/>
        <v>32</v>
      </c>
      <c r="H20" s="106">
        <f t="shared" si="0"/>
        <v>105</v>
      </c>
      <c r="I20" s="106">
        <f t="shared" si="0"/>
        <v>62</v>
      </c>
      <c r="J20" s="106">
        <f t="shared" si="0"/>
        <v>29</v>
      </c>
      <c r="K20" s="106">
        <f t="shared" si="0"/>
        <v>10</v>
      </c>
      <c r="L20" s="106">
        <f t="shared" si="0"/>
        <v>22</v>
      </c>
      <c r="M20" s="106">
        <f t="shared" si="0"/>
        <v>3</v>
      </c>
      <c r="N20" s="107">
        <f t="shared" si="0"/>
        <v>924</v>
      </c>
      <c r="O20" s="108" t="s">
        <v>55</v>
      </c>
    </row>
    <row r="21" spans="1:15" s="920" customFormat="1" ht="16.5" customHeight="1">
      <c r="A21" s="923" t="s">
        <v>335</v>
      </c>
      <c r="O21" s="922" t="s">
        <v>1087</v>
      </c>
    </row>
    <row r="22" spans="1:15">
      <c r="A22" s="74"/>
      <c r="O22" s="62"/>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22"/>
  <sheetViews>
    <sheetView rightToLeft="1" view="pageBreakPreview" zoomScaleNormal="100" zoomScaleSheetLayoutView="100" workbookViewId="0">
      <selection activeCell="N20" sqref="N20"/>
    </sheetView>
  </sheetViews>
  <sheetFormatPr defaultColWidth="9.140625" defaultRowHeight="12.75"/>
  <cols>
    <col min="1" max="1" width="21.42578125" style="1" customWidth="1"/>
    <col min="2" max="2" width="13" style="1" customWidth="1"/>
    <col min="3" max="12" width="7.140625" style="1" customWidth="1"/>
    <col min="13" max="13" width="11.42578125" style="1" customWidth="1"/>
    <col min="14" max="14" width="9.85546875" style="1" customWidth="1"/>
    <col min="15" max="15" width="19.7109375" style="1" customWidth="1"/>
    <col min="16" max="16384" width="9.140625" style="1"/>
  </cols>
  <sheetData>
    <row r="1" spans="1:15" ht="24" customHeight="1">
      <c r="A1" s="1129" t="s">
        <v>340</v>
      </c>
      <c r="B1" s="1129"/>
      <c r="C1" s="1129"/>
      <c r="D1" s="1129"/>
      <c r="E1" s="1129"/>
      <c r="F1" s="1129"/>
      <c r="G1" s="1129"/>
      <c r="H1" s="1129"/>
      <c r="I1" s="1129"/>
      <c r="J1" s="1129"/>
      <c r="K1" s="1129"/>
      <c r="L1" s="1129"/>
      <c r="M1" s="1129"/>
      <c r="N1" s="1129"/>
      <c r="O1" s="1129"/>
    </row>
    <row r="2" spans="1:15" ht="15.75" customHeight="1">
      <c r="A2" s="1100" t="s">
        <v>339</v>
      </c>
      <c r="B2" s="1100"/>
      <c r="C2" s="1100"/>
      <c r="D2" s="1100"/>
      <c r="E2" s="1100"/>
      <c r="F2" s="1100"/>
      <c r="G2" s="1100"/>
      <c r="H2" s="1100"/>
      <c r="I2" s="1100"/>
      <c r="J2" s="1100"/>
      <c r="K2" s="1100"/>
      <c r="L2" s="1100"/>
      <c r="M2" s="1100"/>
      <c r="N2" s="1100"/>
      <c r="O2" s="1100"/>
    </row>
    <row r="3" spans="1:15" ht="15.75" customHeight="1">
      <c r="A3" s="1100">
        <v>2021</v>
      </c>
      <c r="B3" s="1100"/>
      <c r="C3" s="1100"/>
      <c r="D3" s="1100"/>
      <c r="E3" s="1100"/>
      <c r="F3" s="1100"/>
      <c r="G3" s="1100"/>
      <c r="H3" s="1100"/>
      <c r="I3" s="1100"/>
      <c r="J3" s="1100"/>
      <c r="K3" s="1100"/>
      <c r="L3" s="1100"/>
      <c r="M3" s="1100"/>
      <c r="N3" s="1100"/>
      <c r="O3" s="1100"/>
    </row>
    <row r="4" spans="1:15" ht="18.75" customHeight="1">
      <c r="A4" s="1100" t="s">
        <v>1</v>
      </c>
      <c r="B4" s="1100"/>
      <c r="C4" s="1100"/>
      <c r="D4" s="1100"/>
      <c r="E4" s="1100"/>
      <c r="F4" s="1100"/>
      <c r="G4" s="1100"/>
      <c r="H4" s="1100"/>
      <c r="I4" s="1100"/>
      <c r="J4" s="1100"/>
      <c r="K4" s="1100"/>
      <c r="L4" s="1100"/>
      <c r="M4" s="1100"/>
      <c r="N4" s="1100"/>
      <c r="O4" s="1100"/>
    </row>
    <row r="5" spans="1:15" ht="18.75" customHeight="1">
      <c r="A5" s="373"/>
      <c r="B5" s="373"/>
      <c r="C5" s="373"/>
      <c r="D5" s="373"/>
      <c r="E5" s="373"/>
      <c r="F5" s="373"/>
      <c r="G5" s="373"/>
      <c r="H5" s="373"/>
      <c r="I5" s="373"/>
      <c r="J5" s="373"/>
      <c r="K5" s="373"/>
      <c r="L5" s="373"/>
      <c r="M5" s="373"/>
      <c r="N5" s="373"/>
      <c r="O5" s="373"/>
    </row>
    <row r="6" spans="1:15" s="29" customFormat="1" ht="16.5">
      <c r="A6" s="363" t="s">
        <v>458</v>
      </c>
      <c r="B6" s="364"/>
      <c r="C6" s="364"/>
      <c r="D6" s="364"/>
      <c r="E6" s="364"/>
      <c r="F6" s="364"/>
      <c r="G6" s="364"/>
      <c r="H6" s="364"/>
      <c r="I6" s="364"/>
      <c r="J6" s="364"/>
      <c r="K6" s="364"/>
      <c r="L6" s="364"/>
      <c r="M6" s="365"/>
      <c r="N6" s="370"/>
      <c r="O6" s="370" t="s">
        <v>459</v>
      </c>
    </row>
    <row r="7" spans="1:15" ht="27.75" customHeight="1" thickBot="1">
      <c r="A7" s="1204" t="s">
        <v>308</v>
      </c>
      <c r="B7" s="1210" t="s">
        <v>338</v>
      </c>
      <c r="C7" s="1207"/>
      <c r="D7" s="1207"/>
      <c r="E7" s="1207"/>
      <c r="F7" s="1207"/>
      <c r="G7" s="1207"/>
      <c r="H7" s="1207"/>
      <c r="I7" s="1207"/>
      <c r="J7" s="1207"/>
      <c r="K7" s="1207"/>
      <c r="L7" s="1207"/>
      <c r="M7" s="1207"/>
      <c r="N7" s="1207"/>
      <c r="O7" s="1208" t="s">
        <v>1070</v>
      </c>
    </row>
    <row r="8" spans="1:15" ht="42.75" customHeight="1">
      <c r="A8" s="1205"/>
      <c r="B8" s="328" t="s">
        <v>645</v>
      </c>
      <c r="C8" s="336">
        <v>-1</v>
      </c>
      <c r="D8" s="336">
        <v>1</v>
      </c>
      <c r="E8" s="336">
        <v>2</v>
      </c>
      <c r="F8" s="336">
        <v>3</v>
      </c>
      <c r="G8" s="336">
        <v>4</v>
      </c>
      <c r="H8" s="336" t="s">
        <v>1066</v>
      </c>
      <c r="I8" s="336" t="s">
        <v>1067</v>
      </c>
      <c r="J8" s="336" t="s">
        <v>1068</v>
      </c>
      <c r="K8" s="336" t="s">
        <v>1053</v>
      </c>
      <c r="L8" s="336" t="s">
        <v>430</v>
      </c>
      <c r="M8" s="337" t="s">
        <v>646</v>
      </c>
      <c r="N8" s="337" t="s">
        <v>115</v>
      </c>
      <c r="O8" s="1209"/>
    </row>
    <row r="9" spans="1:15" ht="19.5" customHeight="1" thickBot="1">
      <c r="A9" s="21" t="s">
        <v>426</v>
      </c>
      <c r="B9" s="20">
        <v>17</v>
      </c>
      <c r="C9" s="20">
        <v>15</v>
      </c>
      <c r="D9" s="20">
        <v>4</v>
      </c>
      <c r="E9" s="20">
        <v>4</v>
      </c>
      <c r="F9" s="20">
        <v>0</v>
      </c>
      <c r="G9" s="20">
        <v>1</v>
      </c>
      <c r="H9" s="20">
        <v>0</v>
      </c>
      <c r="I9" s="20">
        <v>0</v>
      </c>
      <c r="J9" s="20">
        <v>0</v>
      </c>
      <c r="K9" s="20">
        <v>0</v>
      </c>
      <c r="L9" s="20">
        <v>0</v>
      </c>
      <c r="M9" s="20">
        <v>0</v>
      </c>
      <c r="N9" s="52">
        <v>41</v>
      </c>
      <c r="O9" s="828" t="s">
        <v>426</v>
      </c>
    </row>
    <row r="10" spans="1:15" ht="19.5" customHeight="1" thickBot="1">
      <c r="A10" s="103" t="s">
        <v>127</v>
      </c>
      <c r="B10" s="227">
        <v>146</v>
      </c>
      <c r="C10" s="227">
        <v>105</v>
      </c>
      <c r="D10" s="227">
        <v>20</v>
      </c>
      <c r="E10" s="227">
        <v>19</v>
      </c>
      <c r="F10" s="227">
        <v>15</v>
      </c>
      <c r="G10" s="227">
        <v>12</v>
      </c>
      <c r="H10" s="227">
        <v>9</v>
      </c>
      <c r="I10" s="227">
        <v>1</v>
      </c>
      <c r="J10" s="227">
        <v>0</v>
      </c>
      <c r="K10" s="227">
        <v>0</v>
      </c>
      <c r="L10" s="227">
        <v>0</v>
      </c>
      <c r="M10" s="227">
        <v>0</v>
      </c>
      <c r="N10" s="52">
        <v>327</v>
      </c>
      <c r="O10" s="828" t="s">
        <v>127</v>
      </c>
    </row>
    <row r="11" spans="1:15" ht="19.5" customHeight="1" thickBot="1">
      <c r="A11" s="103" t="s">
        <v>126</v>
      </c>
      <c r="B11" s="227">
        <v>99</v>
      </c>
      <c r="C11" s="227">
        <v>187</v>
      </c>
      <c r="D11" s="227">
        <v>29</v>
      </c>
      <c r="E11" s="227">
        <v>16</v>
      </c>
      <c r="F11" s="227">
        <v>22</v>
      </c>
      <c r="G11" s="227">
        <v>17</v>
      </c>
      <c r="H11" s="227">
        <v>61</v>
      </c>
      <c r="I11" s="227">
        <v>10</v>
      </c>
      <c r="J11" s="227">
        <v>1</v>
      </c>
      <c r="K11" s="227">
        <v>0</v>
      </c>
      <c r="L11" s="227">
        <v>0</v>
      </c>
      <c r="M11" s="227">
        <v>2</v>
      </c>
      <c r="N11" s="52">
        <v>444</v>
      </c>
      <c r="O11" s="828" t="s">
        <v>126</v>
      </c>
    </row>
    <row r="12" spans="1:15" ht="19.5" customHeight="1" thickBot="1">
      <c r="A12" s="103" t="s">
        <v>125</v>
      </c>
      <c r="B12" s="227">
        <v>34</v>
      </c>
      <c r="C12" s="227">
        <v>191</v>
      </c>
      <c r="D12" s="227">
        <v>18</v>
      </c>
      <c r="E12" s="227">
        <v>10</v>
      </c>
      <c r="F12" s="227">
        <v>7</v>
      </c>
      <c r="G12" s="227">
        <v>8</v>
      </c>
      <c r="H12" s="227">
        <v>58</v>
      </c>
      <c r="I12" s="227">
        <v>40</v>
      </c>
      <c r="J12" s="227">
        <v>5</v>
      </c>
      <c r="K12" s="227">
        <v>0</v>
      </c>
      <c r="L12" s="227">
        <v>0</v>
      </c>
      <c r="M12" s="227">
        <v>2</v>
      </c>
      <c r="N12" s="52">
        <v>373</v>
      </c>
      <c r="O12" s="828" t="s">
        <v>125</v>
      </c>
    </row>
    <row r="13" spans="1:15" ht="19.5" customHeight="1" thickBot="1">
      <c r="A13" s="103" t="s">
        <v>124</v>
      </c>
      <c r="B13" s="227">
        <v>24</v>
      </c>
      <c r="C13" s="227">
        <v>217</v>
      </c>
      <c r="D13" s="227">
        <v>7</v>
      </c>
      <c r="E13" s="227">
        <v>1</v>
      </c>
      <c r="F13" s="227">
        <v>7</v>
      </c>
      <c r="G13" s="227">
        <v>10</v>
      </c>
      <c r="H13" s="227">
        <v>29</v>
      </c>
      <c r="I13" s="227">
        <v>34</v>
      </c>
      <c r="J13" s="227">
        <v>22</v>
      </c>
      <c r="K13" s="227">
        <v>7</v>
      </c>
      <c r="L13" s="227">
        <v>0</v>
      </c>
      <c r="M13" s="227">
        <v>3</v>
      </c>
      <c r="N13" s="52">
        <v>361</v>
      </c>
      <c r="O13" s="828" t="s">
        <v>124</v>
      </c>
    </row>
    <row r="14" spans="1:15" ht="19.5" customHeight="1" thickBot="1">
      <c r="A14" s="103" t="s">
        <v>123</v>
      </c>
      <c r="B14" s="227">
        <v>11</v>
      </c>
      <c r="C14" s="227">
        <v>133</v>
      </c>
      <c r="D14" s="227">
        <v>7</v>
      </c>
      <c r="E14" s="227">
        <v>4</v>
      </c>
      <c r="F14" s="227">
        <v>8</v>
      </c>
      <c r="G14" s="227">
        <v>6</v>
      </c>
      <c r="H14" s="227">
        <v>19</v>
      </c>
      <c r="I14" s="227">
        <v>14</v>
      </c>
      <c r="J14" s="227">
        <v>19</v>
      </c>
      <c r="K14" s="227">
        <v>12</v>
      </c>
      <c r="L14" s="227">
        <v>3</v>
      </c>
      <c r="M14" s="227">
        <v>1</v>
      </c>
      <c r="N14" s="52">
        <v>237</v>
      </c>
      <c r="O14" s="828" t="s">
        <v>123</v>
      </c>
    </row>
    <row r="15" spans="1:15" ht="19.5" customHeight="1" thickBot="1">
      <c r="A15" s="103" t="s">
        <v>122</v>
      </c>
      <c r="B15" s="227">
        <v>6</v>
      </c>
      <c r="C15" s="227">
        <v>81</v>
      </c>
      <c r="D15" s="227">
        <v>7</v>
      </c>
      <c r="E15" s="227">
        <v>3</v>
      </c>
      <c r="F15" s="227">
        <v>3</v>
      </c>
      <c r="G15" s="227">
        <v>4</v>
      </c>
      <c r="H15" s="227">
        <v>11</v>
      </c>
      <c r="I15" s="227">
        <v>6</v>
      </c>
      <c r="J15" s="227">
        <v>8</v>
      </c>
      <c r="K15" s="227">
        <v>14</v>
      </c>
      <c r="L15" s="227">
        <v>13</v>
      </c>
      <c r="M15" s="227">
        <v>0</v>
      </c>
      <c r="N15" s="52">
        <v>156</v>
      </c>
      <c r="O15" s="828" t="s">
        <v>122</v>
      </c>
    </row>
    <row r="16" spans="1:15" ht="19.5" customHeight="1" thickBot="1">
      <c r="A16" s="103" t="s">
        <v>121</v>
      </c>
      <c r="B16" s="227">
        <v>4</v>
      </c>
      <c r="C16" s="227">
        <v>58</v>
      </c>
      <c r="D16" s="227">
        <v>1</v>
      </c>
      <c r="E16" s="227">
        <v>0</v>
      </c>
      <c r="F16" s="227">
        <v>3</v>
      </c>
      <c r="G16" s="227">
        <v>0</v>
      </c>
      <c r="H16" s="227">
        <v>2</v>
      </c>
      <c r="I16" s="227">
        <v>1</v>
      </c>
      <c r="J16" s="227">
        <v>3</v>
      </c>
      <c r="K16" s="227">
        <v>7</v>
      </c>
      <c r="L16" s="227">
        <v>22</v>
      </c>
      <c r="M16" s="227">
        <v>0</v>
      </c>
      <c r="N16" s="52">
        <v>101</v>
      </c>
      <c r="O16" s="828" t="s">
        <v>121</v>
      </c>
    </row>
    <row r="17" spans="1:15" ht="19.5" customHeight="1" thickBot="1">
      <c r="A17" s="103" t="s">
        <v>120</v>
      </c>
      <c r="B17" s="227">
        <v>1</v>
      </c>
      <c r="C17" s="227">
        <v>21</v>
      </c>
      <c r="D17" s="227">
        <v>0</v>
      </c>
      <c r="E17" s="227">
        <v>0</v>
      </c>
      <c r="F17" s="227">
        <v>1</v>
      </c>
      <c r="G17" s="227">
        <v>0</v>
      </c>
      <c r="H17" s="227">
        <v>2</v>
      </c>
      <c r="I17" s="227">
        <v>1</v>
      </c>
      <c r="J17" s="227">
        <v>0</v>
      </c>
      <c r="K17" s="227">
        <v>0</v>
      </c>
      <c r="L17" s="227">
        <v>16</v>
      </c>
      <c r="M17" s="227">
        <v>0</v>
      </c>
      <c r="N17" s="52">
        <v>42</v>
      </c>
      <c r="O17" s="828" t="s">
        <v>120</v>
      </c>
    </row>
    <row r="18" spans="1:15" ht="19.5" customHeight="1" thickBot="1">
      <c r="A18" s="103" t="s">
        <v>132</v>
      </c>
      <c r="B18" s="227">
        <v>1</v>
      </c>
      <c r="C18" s="227">
        <v>9</v>
      </c>
      <c r="D18" s="227">
        <v>0</v>
      </c>
      <c r="E18" s="227">
        <v>0</v>
      </c>
      <c r="F18" s="227">
        <v>0</v>
      </c>
      <c r="G18" s="227">
        <v>0</v>
      </c>
      <c r="H18" s="227">
        <v>0</v>
      </c>
      <c r="I18" s="227">
        <v>3</v>
      </c>
      <c r="J18" s="227">
        <v>0</v>
      </c>
      <c r="K18" s="227">
        <v>0</v>
      </c>
      <c r="L18" s="227">
        <v>11</v>
      </c>
      <c r="M18" s="227">
        <v>1</v>
      </c>
      <c r="N18" s="52">
        <v>25</v>
      </c>
      <c r="O18" s="828" t="s">
        <v>132</v>
      </c>
    </row>
    <row r="19" spans="1:15" ht="19.5" customHeight="1" thickBot="1">
      <c r="A19" s="229" t="s">
        <v>14</v>
      </c>
      <c r="B19" s="230">
        <v>4</v>
      </c>
      <c r="C19" s="230">
        <v>20</v>
      </c>
      <c r="D19" s="230">
        <v>0</v>
      </c>
      <c r="E19" s="230">
        <v>0</v>
      </c>
      <c r="F19" s="230">
        <v>0</v>
      </c>
      <c r="G19" s="230">
        <v>3</v>
      </c>
      <c r="H19" s="230">
        <v>2</v>
      </c>
      <c r="I19" s="230">
        <v>3</v>
      </c>
      <c r="J19" s="230">
        <v>1</v>
      </c>
      <c r="K19" s="230">
        <v>0</v>
      </c>
      <c r="L19" s="230">
        <v>1</v>
      </c>
      <c r="M19" s="230">
        <v>0</v>
      </c>
      <c r="N19" s="52">
        <v>34</v>
      </c>
      <c r="O19" s="847" t="s">
        <v>15</v>
      </c>
    </row>
    <row r="20" spans="1:15" ht="19.5" customHeight="1">
      <c r="A20" s="105" t="s">
        <v>16</v>
      </c>
      <c r="B20" s="106">
        <f t="shared" ref="B20:N20" si="0">SUM(B9:B19)</f>
        <v>347</v>
      </c>
      <c r="C20" s="106">
        <f t="shared" si="0"/>
        <v>1037</v>
      </c>
      <c r="D20" s="106">
        <f t="shared" si="0"/>
        <v>93</v>
      </c>
      <c r="E20" s="106">
        <f t="shared" si="0"/>
        <v>57</v>
      </c>
      <c r="F20" s="106">
        <f t="shared" si="0"/>
        <v>66</v>
      </c>
      <c r="G20" s="106">
        <f t="shared" si="0"/>
        <v>61</v>
      </c>
      <c r="H20" s="106">
        <f t="shared" si="0"/>
        <v>193</v>
      </c>
      <c r="I20" s="106">
        <f t="shared" si="0"/>
        <v>113</v>
      </c>
      <c r="J20" s="106">
        <f t="shared" si="0"/>
        <v>59</v>
      </c>
      <c r="K20" s="106">
        <f t="shared" si="0"/>
        <v>40</v>
      </c>
      <c r="L20" s="106">
        <f>SUM(L9:L19)</f>
        <v>66</v>
      </c>
      <c r="M20" s="106">
        <f t="shared" si="0"/>
        <v>9</v>
      </c>
      <c r="N20" s="107">
        <f t="shared" si="0"/>
        <v>2141</v>
      </c>
      <c r="O20" s="108" t="s">
        <v>55</v>
      </c>
    </row>
    <row r="21" spans="1:15" s="920" customFormat="1" ht="16.5" customHeight="1">
      <c r="A21" s="923" t="s">
        <v>335</v>
      </c>
      <c r="O21" s="922" t="s">
        <v>1087</v>
      </c>
    </row>
    <row r="22" spans="1:15">
      <c r="A22" s="74"/>
      <c r="O22" s="62"/>
    </row>
  </sheetData>
  <mergeCells count="7">
    <mergeCell ref="A7:A8"/>
    <mergeCell ref="B7:N7"/>
    <mergeCell ref="O7:O8"/>
    <mergeCell ref="A1:O1"/>
    <mergeCell ref="A2:O2"/>
    <mergeCell ref="A3:O3"/>
    <mergeCell ref="A4:O4"/>
  </mergeCells>
  <printOptions horizontalCentered="1" verticalCentered="1"/>
  <pageMargins left="0" right="0" top="0" bottom="0" header="0" footer="0"/>
  <pageSetup paperSize="9" scale="91" orientation="landscape" r:id="rId1"/>
  <headerFooter alignWithMargins="0"/>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R23"/>
  <sheetViews>
    <sheetView rightToLeft="1" view="pageBreakPreview" topLeftCell="A4" zoomScaleNormal="100" zoomScaleSheetLayoutView="100" workbookViewId="0">
      <selection activeCell="C26" sqref="C26"/>
    </sheetView>
  </sheetViews>
  <sheetFormatPr defaultColWidth="9.140625" defaultRowHeight="12.75"/>
  <cols>
    <col min="1" max="1" width="22.85546875" style="1" customWidth="1"/>
    <col min="2" max="11" width="7.5703125" style="1" customWidth="1"/>
    <col min="12" max="12" width="11.140625" style="1" customWidth="1"/>
    <col min="13" max="13" width="13.42578125" style="1" customWidth="1"/>
    <col min="14" max="14" width="21.28515625" style="1" customWidth="1"/>
    <col min="15" max="16384" width="9.140625" style="1"/>
  </cols>
  <sheetData>
    <row r="1" spans="1:18" s="2" customFormat="1" ht="21.75" customHeight="1">
      <c r="A1" s="1041" t="s">
        <v>342</v>
      </c>
      <c r="B1" s="1041"/>
      <c r="C1" s="1041"/>
      <c r="D1" s="1041"/>
      <c r="E1" s="1041"/>
      <c r="F1" s="1041"/>
      <c r="G1" s="1041"/>
      <c r="H1" s="1041"/>
      <c r="I1" s="1041"/>
      <c r="J1" s="1041"/>
      <c r="K1" s="1041"/>
      <c r="L1" s="1041"/>
      <c r="M1" s="1041"/>
      <c r="N1" s="1041"/>
    </row>
    <row r="2" spans="1:18" s="2" customFormat="1" ht="15.75">
      <c r="A2" s="1068" t="s">
        <v>341</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t="s">
        <v>52</v>
      </c>
      <c r="B4" s="1069"/>
      <c r="C4" s="1069"/>
      <c r="D4" s="1069"/>
      <c r="E4" s="1069"/>
      <c r="F4" s="1069"/>
      <c r="G4" s="1069"/>
      <c r="H4" s="1069"/>
      <c r="I4" s="1069"/>
      <c r="J4" s="1069"/>
      <c r="K4" s="1069"/>
      <c r="L4" s="1069"/>
      <c r="M4" s="1069"/>
      <c r="N4" s="1069"/>
    </row>
    <row r="5" spans="1:18" s="2" customFormat="1" ht="15.75">
      <c r="A5" s="362"/>
      <c r="B5" s="362"/>
      <c r="C5" s="362"/>
      <c r="D5" s="362"/>
      <c r="E5" s="362"/>
      <c r="F5" s="362"/>
      <c r="G5" s="362"/>
      <c r="H5" s="362"/>
      <c r="I5" s="362"/>
      <c r="J5" s="362"/>
      <c r="K5" s="362"/>
      <c r="L5" s="362"/>
      <c r="M5" s="362"/>
      <c r="N5" s="362"/>
    </row>
    <row r="6" spans="1:18" s="29" customFormat="1" ht="15.75">
      <c r="A6" s="374" t="s">
        <v>464</v>
      </c>
      <c r="B6" s="375"/>
      <c r="C6" s="375"/>
      <c r="D6" s="375"/>
      <c r="E6" s="375"/>
      <c r="F6" s="375"/>
      <c r="G6" s="375"/>
      <c r="H6" s="375"/>
      <c r="I6" s="375"/>
      <c r="J6" s="375"/>
      <c r="K6" s="375"/>
      <c r="L6" s="375"/>
      <c r="M6" s="375"/>
      <c r="N6" s="376" t="s">
        <v>505</v>
      </c>
    </row>
    <row r="7" spans="1:18" ht="26.25" customHeight="1" thickBot="1">
      <c r="A7" s="1131" t="s">
        <v>141</v>
      </c>
      <c r="B7" s="1119" t="s">
        <v>135</v>
      </c>
      <c r="C7" s="1119"/>
      <c r="D7" s="1119"/>
      <c r="E7" s="1119"/>
      <c r="F7" s="1119"/>
      <c r="G7" s="1119"/>
      <c r="H7" s="1119"/>
      <c r="I7" s="1119"/>
      <c r="J7" s="1119"/>
      <c r="K7" s="1119"/>
      <c r="L7" s="1119"/>
      <c r="M7" s="1119"/>
      <c r="N7" s="1138" t="s">
        <v>1075</v>
      </c>
    </row>
    <row r="8" spans="1:18" ht="39.75" customHeight="1">
      <c r="A8" s="1132"/>
      <c r="B8" s="323">
        <v>-20</v>
      </c>
      <c r="C8" s="323" t="s">
        <v>127</v>
      </c>
      <c r="D8" s="323" t="s">
        <v>126</v>
      </c>
      <c r="E8" s="323" t="s">
        <v>125</v>
      </c>
      <c r="F8" s="323" t="s">
        <v>124</v>
      </c>
      <c r="G8" s="323" t="s">
        <v>123</v>
      </c>
      <c r="H8" s="323" t="s">
        <v>122</v>
      </c>
      <c r="I8" s="323" t="s">
        <v>121</v>
      </c>
      <c r="J8" s="323" t="s">
        <v>120</v>
      </c>
      <c r="K8" s="323" t="s">
        <v>132</v>
      </c>
      <c r="L8" s="332" t="s">
        <v>647</v>
      </c>
      <c r="M8" s="329" t="s">
        <v>115</v>
      </c>
      <c r="N8" s="1139"/>
    </row>
    <row r="9" spans="1:18" ht="16.5" customHeight="1" thickBot="1">
      <c r="A9" s="810" t="s">
        <v>426</v>
      </c>
      <c r="B9" s="75">
        <v>0</v>
      </c>
      <c r="C9" s="75">
        <v>0</v>
      </c>
      <c r="D9" s="75">
        <v>0</v>
      </c>
      <c r="E9" s="75">
        <v>0</v>
      </c>
      <c r="F9" s="75">
        <v>0</v>
      </c>
      <c r="G9" s="75">
        <v>0</v>
      </c>
      <c r="H9" s="75">
        <v>0</v>
      </c>
      <c r="I9" s="75">
        <v>0</v>
      </c>
      <c r="J9" s="75">
        <v>0</v>
      </c>
      <c r="K9" s="75">
        <v>0</v>
      </c>
      <c r="L9" s="75">
        <v>0</v>
      </c>
      <c r="M9" s="6">
        <v>0</v>
      </c>
      <c r="N9" s="95" t="s">
        <v>426</v>
      </c>
    </row>
    <row r="10" spans="1:18" ht="16.5" customHeight="1" thickBot="1">
      <c r="A10" s="810" t="s">
        <v>127</v>
      </c>
      <c r="B10" s="231">
        <v>17</v>
      </c>
      <c r="C10" s="231">
        <v>70</v>
      </c>
      <c r="D10" s="231">
        <v>11</v>
      </c>
      <c r="E10" s="231">
        <v>1</v>
      </c>
      <c r="F10" s="231">
        <v>0</v>
      </c>
      <c r="G10" s="231">
        <v>0</v>
      </c>
      <c r="H10" s="231">
        <v>0</v>
      </c>
      <c r="I10" s="231">
        <v>0</v>
      </c>
      <c r="J10" s="231">
        <v>0</v>
      </c>
      <c r="K10" s="231">
        <v>0</v>
      </c>
      <c r="L10" s="231">
        <v>1</v>
      </c>
      <c r="M10" s="6">
        <v>100</v>
      </c>
      <c r="N10" s="95" t="s">
        <v>127</v>
      </c>
    </row>
    <row r="11" spans="1:18" ht="16.5" customHeight="1" thickBot="1">
      <c r="A11" s="810" t="s">
        <v>126</v>
      </c>
      <c r="B11" s="231">
        <v>14</v>
      </c>
      <c r="C11" s="231">
        <v>132</v>
      </c>
      <c r="D11" s="231">
        <v>144</v>
      </c>
      <c r="E11" s="231">
        <v>14</v>
      </c>
      <c r="F11" s="231">
        <v>3</v>
      </c>
      <c r="G11" s="231">
        <v>2</v>
      </c>
      <c r="H11" s="231">
        <v>2</v>
      </c>
      <c r="I11" s="231">
        <v>0</v>
      </c>
      <c r="J11" s="231">
        <v>0</v>
      </c>
      <c r="K11" s="231">
        <v>0</v>
      </c>
      <c r="L11" s="231">
        <v>3</v>
      </c>
      <c r="M11" s="6">
        <v>314</v>
      </c>
      <c r="N11" s="95" t="s">
        <v>126</v>
      </c>
    </row>
    <row r="12" spans="1:18" ht="16.5" customHeight="1" thickBot="1">
      <c r="A12" s="810" t="s">
        <v>125</v>
      </c>
      <c r="B12" s="231">
        <v>2</v>
      </c>
      <c r="C12" s="231">
        <v>55</v>
      </c>
      <c r="D12" s="231">
        <v>107</v>
      </c>
      <c r="E12" s="231">
        <v>80</v>
      </c>
      <c r="F12" s="231">
        <v>13</v>
      </c>
      <c r="G12" s="231">
        <v>5</v>
      </c>
      <c r="H12" s="231">
        <v>1</v>
      </c>
      <c r="I12" s="231">
        <v>0</v>
      </c>
      <c r="J12" s="231">
        <v>0</v>
      </c>
      <c r="K12" s="231">
        <v>0</v>
      </c>
      <c r="L12" s="231">
        <v>8</v>
      </c>
      <c r="M12" s="6">
        <v>271</v>
      </c>
      <c r="N12" s="95" t="s">
        <v>125</v>
      </c>
    </row>
    <row r="13" spans="1:18" ht="16.5" customHeight="1" thickBot="1">
      <c r="A13" s="810" t="s">
        <v>124</v>
      </c>
      <c r="B13" s="231">
        <v>0</v>
      </c>
      <c r="C13" s="231">
        <v>12</v>
      </c>
      <c r="D13" s="231">
        <v>32</v>
      </c>
      <c r="E13" s="231">
        <v>60</v>
      </c>
      <c r="F13" s="231">
        <v>62</v>
      </c>
      <c r="G13" s="231">
        <v>20</v>
      </c>
      <c r="H13" s="231">
        <v>0</v>
      </c>
      <c r="I13" s="231">
        <v>1</v>
      </c>
      <c r="J13" s="231">
        <v>0</v>
      </c>
      <c r="K13" s="231">
        <v>0</v>
      </c>
      <c r="L13" s="231">
        <v>0</v>
      </c>
      <c r="M13" s="6">
        <v>187</v>
      </c>
      <c r="N13" s="95" t="s">
        <v>124</v>
      </c>
    </row>
    <row r="14" spans="1:18" ht="16.5" customHeight="1" thickBot="1">
      <c r="A14" s="810" t="s">
        <v>123</v>
      </c>
      <c r="B14" s="231">
        <v>0</v>
      </c>
      <c r="C14" s="231">
        <v>1</v>
      </c>
      <c r="D14" s="231">
        <v>11</v>
      </c>
      <c r="E14" s="231">
        <v>27</v>
      </c>
      <c r="F14" s="231">
        <v>44</v>
      </c>
      <c r="G14" s="231">
        <v>37</v>
      </c>
      <c r="H14" s="231">
        <v>14</v>
      </c>
      <c r="I14" s="231">
        <v>1</v>
      </c>
      <c r="J14" s="231">
        <v>0</v>
      </c>
      <c r="K14" s="231">
        <v>0</v>
      </c>
      <c r="L14" s="231">
        <v>2</v>
      </c>
      <c r="M14" s="6">
        <v>137</v>
      </c>
      <c r="N14" s="95" t="s">
        <v>123</v>
      </c>
    </row>
    <row r="15" spans="1:18" ht="16.5" customHeight="1" thickBot="1">
      <c r="A15" s="810" t="s">
        <v>122</v>
      </c>
      <c r="B15" s="231">
        <v>0</v>
      </c>
      <c r="C15" s="231">
        <v>1</v>
      </c>
      <c r="D15" s="231">
        <v>2</v>
      </c>
      <c r="E15" s="231">
        <v>14</v>
      </c>
      <c r="F15" s="231">
        <v>30</v>
      </c>
      <c r="G15" s="231">
        <v>18</v>
      </c>
      <c r="H15" s="231">
        <v>21</v>
      </c>
      <c r="I15" s="231">
        <v>7</v>
      </c>
      <c r="J15" s="231">
        <v>1</v>
      </c>
      <c r="K15" s="231">
        <v>0</v>
      </c>
      <c r="L15" s="231">
        <v>1</v>
      </c>
      <c r="M15" s="6">
        <v>95</v>
      </c>
      <c r="N15" s="95" t="s">
        <v>122</v>
      </c>
    </row>
    <row r="16" spans="1:18" ht="16.5" customHeight="1" thickBot="1">
      <c r="A16" s="810" t="s">
        <v>121</v>
      </c>
      <c r="B16" s="231">
        <v>0</v>
      </c>
      <c r="C16" s="231">
        <v>0</v>
      </c>
      <c r="D16" s="231">
        <v>0</v>
      </c>
      <c r="E16" s="231">
        <v>7</v>
      </c>
      <c r="F16" s="231">
        <v>13</v>
      </c>
      <c r="G16" s="231">
        <v>14</v>
      </c>
      <c r="H16" s="231">
        <v>22</v>
      </c>
      <c r="I16" s="231">
        <v>20</v>
      </c>
      <c r="J16" s="231">
        <v>5</v>
      </c>
      <c r="K16" s="231">
        <v>1</v>
      </c>
      <c r="L16" s="231">
        <v>0</v>
      </c>
      <c r="M16" s="6">
        <v>82</v>
      </c>
      <c r="N16" s="95" t="s">
        <v>121</v>
      </c>
    </row>
    <row r="17" spans="1:14" ht="16.5" customHeight="1" thickBot="1">
      <c r="A17" s="810" t="s">
        <v>120</v>
      </c>
      <c r="B17" s="231">
        <v>0</v>
      </c>
      <c r="C17" s="231">
        <v>0</v>
      </c>
      <c r="D17" s="231">
        <v>6</v>
      </c>
      <c r="E17" s="231">
        <v>3</v>
      </c>
      <c r="F17" s="231">
        <v>8</v>
      </c>
      <c r="G17" s="231">
        <v>9</v>
      </c>
      <c r="H17" s="231">
        <v>12</v>
      </c>
      <c r="I17" s="231">
        <v>18</v>
      </c>
      <c r="J17" s="231">
        <v>8</v>
      </c>
      <c r="K17" s="231">
        <v>1</v>
      </c>
      <c r="L17" s="231">
        <v>0</v>
      </c>
      <c r="M17" s="6">
        <v>65</v>
      </c>
      <c r="N17" s="95" t="s">
        <v>120</v>
      </c>
    </row>
    <row r="18" spans="1:14" ht="16.5" customHeight="1" thickBot="1">
      <c r="A18" s="810" t="s">
        <v>119</v>
      </c>
      <c r="B18" s="231">
        <v>0</v>
      </c>
      <c r="C18" s="231">
        <v>0</v>
      </c>
      <c r="D18" s="231">
        <v>0</v>
      </c>
      <c r="E18" s="231">
        <v>1</v>
      </c>
      <c r="F18" s="231">
        <v>4</v>
      </c>
      <c r="G18" s="231">
        <v>0</v>
      </c>
      <c r="H18" s="231">
        <v>7</v>
      </c>
      <c r="I18" s="231">
        <v>5</v>
      </c>
      <c r="J18" s="231">
        <v>6</v>
      </c>
      <c r="K18" s="231">
        <v>5</v>
      </c>
      <c r="L18" s="231">
        <v>2</v>
      </c>
      <c r="M18" s="6">
        <v>30</v>
      </c>
      <c r="N18" s="95" t="s">
        <v>119</v>
      </c>
    </row>
    <row r="19" spans="1:14" ht="16.5" customHeight="1" thickBot="1">
      <c r="A19" s="810" t="s">
        <v>118</v>
      </c>
      <c r="B19" s="231">
        <v>0</v>
      </c>
      <c r="C19" s="231">
        <v>0</v>
      </c>
      <c r="D19" s="231">
        <v>1</v>
      </c>
      <c r="E19" s="231">
        <v>0</v>
      </c>
      <c r="F19" s="231">
        <v>5</v>
      </c>
      <c r="G19" s="231">
        <v>1</v>
      </c>
      <c r="H19" s="231">
        <v>1</v>
      </c>
      <c r="I19" s="231">
        <v>3</v>
      </c>
      <c r="J19" s="231">
        <v>6</v>
      </c>
      <c r="K19" s="231">
        <v>3</v>
      </c>
      <c r="L19" s="231">
        <v>1</v>
      </c>
      <c r="M19" s="6">
        <v>21</v>
      </c>
      <c r="N19" s="95" t="s">
        <v>118</v>
      </c>
    </row>
    <row r="20" spans="1:14" ht="16.5" customHeight="1" thickBot="1">
      <c r="A20" s="810" t="s">
        <v>117</v>
      </c>
      <c r="B20" s="231">
        <v>0</v>
      </c>
      <c r="C20" s="231">
        <v>0</v>
      </c>
      <c r="D20" s="231">
        <v>0</v>
      </c>
      <c r="E20" s="231">
        <v>1</v>
      </c>
      <c r="F20" s="231">
        <v>1</v>
      </c>
      <c r="G20" s="231">
        <v>0</v>
      </c>
      <c r="H20" s="231">
        <v>1</v>
      </c>
      <c r="I20" s="231">
        <v>0</v>
      </c>
      <c r="J20" s="231">
        <v>0</v>
      </c>
      <c r="K20" s="231">
        <v>7</v>
      </c>
      <c r="L20" s="231">
        <v>0</v>
      </c>
      <c r="M20" s="6">
        <v>10</v>
      </c>
      <c r="N20" s="95" t="s">
        <v>117</v>
      </c>
    </row>
    <row r="21" spans="1:14" ht="16.5" customHeight="1" thickBot="1">
      <c r="A21" s="810" t="s">
        <v>116</v>
      </c>
      <c r="B21" s="231">
        <v>0</v>
      </c>
      <c r="C21" s="231">
        <v>0</v>
      </c>
      <c r="D21" s="231">
        <v>0</v>
      </c>
      <c r="E21" s="231">
        <v>0</v>
      </c>
      <c r="F21" s="231">
        <v>1</v>
      </c>
      <c r="G21" s="231">
        <v>1</v>
      </c>
      <c r="H21" s="231">
        <v>2</v>
      </c>
      <c r="I21" s="231">
        <v>4</v>
      </c>
      <c r="J21" s="231">
        <v>2</v>
      </c>
      <c r="K21" s="231">
        <v>2</v>
      </c>
      <c r="L21" s="231">
        <v>0</v>
      </c>
      <c r="M21" s="6">
        <v>12</v>
      </c>
      <c r="N21" s="95" t="s">
        <v>116</v>
      </c>
    </row>
    <row r="22" spans="1:14" ht="16.5" customHeight="1" thickBot="1">
      <c r="A22" s="848" t="s">
        <v>14</v>
      </c>
      <c r="B22" s="232">
        <v>0</v>
      </c>
      <c r="C22" s="232">
        <v>0</v>
      </c>
      <c r="D22" s="232">
        <v>0</v>
      </c>
      <c r="E22" s="232">
        <v>0</v>
      </c>
      <c r="F22" s="232">
        <v>0</v>
      </c>
      <c r="G22" s="232">
        <v>0</v>
      </c>
      <c r="H22" s="232">
        <v>0</v>
      </c>
      <c r="I22" s="232">
        <v>0</v>
      </c>
      <c r="J22" s="232">
        <v>0</v>
      </c>
      <c r="K22" s="232">
        <v>0</v>
      </c>
      <c r="L22" s="232">
        <v>0</v>
      </c>
      <c r="M22" s="6">
        <v>0</v>
      </c>
      <c r="N22" s="850" t="s">
        <v>15</v>
      </c>
    </row>
    <row r="23" spans="1:14" ht="27.75" customHeight="1">
      <c r="A23" s="90" t="s">
        <v>16</v>
      </c>
      <c r="B23" s="85">
        <f t="shared" ref="B23:M23" si="0">SUM(B9:B22)</f>
        <v>33</v>
      </c>
      <c r="C23" s="85">
        <f t="shared" si="0"/>
        <v>271</v>
      </c>
      <c r="D23" s="85">
        <f t="shared" si="0"/>
        <v>314</v>
      </c>
      <c r="E23" s="85">
        <f t="shared" si="0"/>
        <v>208</v>
      </c>
      <c r="F23" s="85">
        <f t="shared" si="0"/>
        <v>184</v>
      </c>
      <c r="G23" s="85">
        <f t="shared" si="0"/>
        <v>107</v>
      </c>
      <c r="H23" s="85">
        <f t="shared" si="0"/>
        <v>83</v>
      </c>
      <c r="I23" s="85">
        <f t="shared" si="0"/>
        <v>59</v>
      </c>
      <c r="J23" s="85">
        <f t="shared" si="0"/>
        <v>28</v>
      </c>
      <c r="K23" s="85">
        <f t="shared" si="0"/>
        <v>19</v>
      </c>
      <c r="L23" s="85">
        <f t="shared" si="0"/>
        <v>18</v>
      </c>
      <c r="M23" s="85">
        <f t="shared" si="0"/>
        <v>1324</v>
      </c>
      <c r="N23" s="91" t="s">
        <v>55</v>
      </c>
    </row>
  </sheetData>
  <mergeCells count="7">
    <mergeCell ref="A7:A8"/>
    <mergeCell ref="N7:N8"/>
    <mergeCell ref="B7:M7"/>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R23"/>
  <sheetViews>
    <sheetView rightToLeft="1" view="pageBreakPreview" topLeftCell="A4" zoomScaleNormal="100" zoomScaleSheetLayoutView="100" workbookViewId="0">
      <selection activeCell="M23" sqref="M23"/>
    </sheetView>
  </sheetViews>
  <sheetFormatPr defaultColWidth="9.140625" defaultRowHeight="12.75"/>
  <cols>
    <col min="1" max="1" width="22.85546875" style="1" customWidth="1"/>
    <col min="2" max="11" width="7.5703125" style="1" customWidth="1"/>
    <col min="12" max="12" width="11.140625" style="1" customWidth="1"/>
    <col min="13" max="13" width="13.42578125" style="1" customWidth="1"/>
    <col min="14" max="14" width="21.28515625" style="1" customWidth="1"/>
    <col min="15" max="16384" width="9.140625" style="1"/>
  </cols>
  <sheetData>
    <row r="1" spans="1:18" s="2" customFormat="1" ht="21.75" customHeight="1">
      <c r="A1" s="1041" t="s">
        <v>342</v>
      </c>
      <c r="B1" s="1041"/>
      <c r="C1" s="1041"/>
      <c r="D1" s="1041"/>
      <c r="E1" s="1041"/>
      <c r="F1" s="1041"/>
      <c r="G1" s="1041"/>
      <c r="H1" s="1041"/>
      <c r="I1" s="1041"/>
      <c r="J1" s="1041"/>
      <c r="K1" s="1041"/>
      <c r="L1" s="1041"/>
      <c r="M1" s="1041"/>
      <c r="N1" s="1041"/>
    </row>
    <row r="2" spans="1:18" s="2" customFormat="1" ht="15.75">
      <c r="A2" s="1068" t="s">
        <v>341</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t="s">
        <v>51</v>
      </c>
      <c r="B4" s="1069"/>
      <c r="C4" s="1069"/>
      <c r="D4" s="1069"/>
      <c r="E4" s="1069"/>
      <c r="F4" s="1069"/>
      <c r="G4" s="1069"/>
      <c r="H4" s="1069"/>
      <c r="I4" s="1069"/>
      <c r="J4" s="1069"/>
      <c r="K4" s="1069"/>
      <c r="L4" s="1069"/>
      <c r="M4" s="1069"/>
      <c r="N4" s="1069"/>
    </row>
    <row r="5" spans="1:18" s="2" customFormat="1" ht="15.75">
      <c r="A5" s="362"/>
      <c r="B5" s="362"/>
      <c r="C5" s="362"/>
      <c r="D5" s="362"/>
      <c r="E5" s="362"/>
      <c r="F5" s="362"/>
      <c r="G5" s="362"/>
      <c r="H5" s="362"/>
      <c r="I5" s="362"/>
      <c r="J5" s="362"/>
      <c r="K5" s="362"/>
      <c r="L5" s="362"/>
      <c r="M5" s="362"/>
      <c r="N5" s="362"/>
    </row>
    <row r="6" spans="1:18" s="29" customFormat="1" ht="15.75">
      <c r="A6" s="374" t="s">
        <v>463</v>
      </c>
      <c r="B6" s="375"/>
      <c r="C6" s="375"/>
      <c r="D6" s="375"/>
      <c r="E6" s="375"/>
      <c r="F6" s="375"/>
      <c r="G6" s="375"/>
      <c r="H6" s="375"/>
      <c r="I6" s="375"/>
      <c r="J6" s="375"/>
      <c r="K6" s="375"/>
      <c r="L6" s="375"/>
      <c r="M6" s="375"/>
      <c r="N6" s="376" t="s">
        <v>507</v>
      </c>
    </row>
    <row r="7" spans="1:18" ht="26.25" customHeight="1" thickBot="1">
      <c r="A7" s="1131" t="s">
        <v>141</v>
      </c>
      <c r="B7" s="1119" t="s">
        <v>135</v>
      </c>
      <c r="C7" s="1119"/>
      <c r="D7" s="1119"/>
      <c r="E7" s="1119"/>
      <c r="F7" s="1119"/>
      <c r="G7" s="1119"/>
      <c r="H7" s="1119"/>
      <c r="I7" s="1119"/>
      <c r="J7" s="1119"/>
      <c r="K7" s="1119"/>
      <c r="L7" s="1119"/>
      <c r="M7" s="1119"/>
      <c r="N7" s="1138" t="s">
        <v>1075</v>
      </c>
    </row>
    <row r="8" spans="1:18" ht="39.75" customHeight="1">
      <c r="A8" s="1132"/>
      <c r="B8" s="323">
        <v>-20</v>
      </c>
      <c r="C8" s="323" t="s">
        <v>127</v>
      </c>
      <c r="D8" s="323" t="s">
        <v>126</v>
      </c>
      <c r="E8" s="323" t="s">
        <v>125</v>
      </c>
      <c r="F8" s="323" t="s">
        <v>124</v>
      </c>
      <c r="G8" s="323" t="s">
        <v>123</v>
      </c>
      <c r="H8" s="323" t="s">
        <v>122</v>
      </c>
      <c r="I8" s="323" t="s">
        <v>121</v>
      </c>
      <c r="J8" s="323" t="s">
        <v>120</v>
      </c>
      <c r="K8" s="323" t="s">
        <v>132</v>
      </c>
      <c r="L8" s="332" t="s">
        <v>647</v>
      </c>
      <c r="M8" s="329" t="s">
        <v>115</v>
      </c>
      <c r="N8" s="1139"/>
    </row>
    <row r="9" spans="1:18" ht="16.5" customHeight="1" thickBot="1">
      <c r="A9" s="810" t="s">
        <v>426</v>
      </c>
      <c r="B9" s="75">
        <v>2</v>
      </c>
      <c r="C9" s="75">
        <v>1</v>
      </c>
      <c r="D9" s="75">
        <v>0</v>
      </c>
      <c r="E9" s="75">
        <v>0</v>
      </c>
      <c r="F9" s="75">
        <v>0</v>
      </c>
      <c r="G9" s="75">
        <v>0</v>
      </c>
      <c r="H9" s="75">
        <v>0</v>
      </c>
      <c r="I9" s="75">
        <v>0</v>
      </c>
      <c r="J9" s="75">
        <v>0</v>
      </c>
      <c r="K9" s="75">
        <v>0</v>
      </c>
      <c r="L9" s="75">
        <v>0</v>
      </c>
      <c r="M9" s="6">
        <v>3</v>
      </c>
      <c r="N9" s="95" t="s">
        <v>426</v>
      </c>
    </row>
    <row r="10" spans="1:18" ht="16.5" customHeight="1" thickBot="1">
      <c r="A10" s="810" t="s">
        <v>127</v>
      </c>
      <c r="B10" s="231">
        <v>1</v>
      </c>
      <c r="C10" s="231">
        <v>5</v>
      </c>
      <c r="D10" s="231">
        <v>0</v>
      </c>
      <c r="E10" s="231">
        <v>2</v>
      </c>
      <c r="F10" s="231">
        <v>0</v>
      </c>
      <c r="G10" s="231">
        <v>0</v>
      </c>
      <c r="H10" s="231">
        <v>0</v>
      </c>
      <c r="I10" s="231">
        <v>0</v>
      </c>
      <c r="J10" s="231">
        <v>0</v>
      </c>
      <c r="K10" s="231">
        <v>0</v>
      </c>
      <c r="L10" s="231">
        <v>1</v>
      </c>
      <c r="M10" s="6">
        <v>9</v>
      </c>
      <c r="N10" s="95" t="s">
        <v>127</v>
      </c>
    </row>
    <row r="11" spans="1:18" ht="16.5" customHeight="1" thickBot="1">
      <c r="A11" s="810" t="s">
        <v>126</v>
      </c>
      <c r="B11" s="231">
        <v>4</v>
      </c>
      <c r="C11" s="231">
        <v>29</v>
      </c>
      <c r="D11" s="231">
        <v>30</v>
      </c>
      <c r="E11" s="231">
        <v>11</v>
      </c>
      <c r="F11" s="231">
        <v>2</v>
      </c>
      <c r="G11" s="231">
        <v>0</v>
      </c>
      <c r="H11" s="231">
        <v>0</v>
      </c>
      <c r="I11" s="231">
        <v>0</v>
      </c>
      <c r="J11" s="231">
        <v>0</v>
      </c>
      <c r="K11" s="231">
        <v>0</v>
      </c>
      <c r="L11" s="231">
        <v>2</v>
      </c>
      <c r="M11" s="6">
        <v>78</v>
      </c>
      <c r="N11" s="95" t="s">
        <v>126</v>
      </c>
    </row>
    <row r="12" spans="1:18" ht="16.5" customHeight="1" thickBot="1">
      <c r="A12" s="810" t="s">
        <v>125</v>
      </c>
      <c r="B12" s="231">
        <v>0</v>
      </c>
      <c r="C12" s="231">
        <v>18</v>
      </c>
      <c r="D12" s="231">
        <v>55</v>
      </c>
      <c r="E12" s="231">
        <v>40</v>
      </c>
      <c r="F12" s="231">
        <v>26</v>
      </c>
      <c r="G12" s="231">
        <v>5</v>
      </c>
      <c r="H12" s="231">
        <v>0</v>
      </c>
      <c r="I12" s="231">
        <v>2</v>
      </c>
      <c r="J12" s="231">
        <v>0</v>
      </c>
      <c r="K12" s="231">
        <v>0</v>
      </c>
      <c r="L12" s="231">
        <v>3</v>
      </c>
      <c r="M12" s="6">
        <v>149</v>
      </c>
      <c r="N12" s="95" t="s">
        <v>125</v>
      </c>
    </row>
    <row r="13" spans="1:18" ht="16.5" customHeight="1" thickBot="1">
      <c r="A13" s="810" t="s">
        <v>124</v>
      </c>
      <c r="B13" s="231">
        <v>1</v>
      </c>
      <c r="C13" s="231">
        <v>2</v>
      </c>
      <c r="D13" s="231">
        <v>38</v>
      </c>
      <c r="E13" s="231">
        <v>55</v>
      </c>
      <c r="F13" s="231">
        <v>52</v>
      </c>
      <c r="G13" s="231">
        <v>22</v>
      </c>
      <c r="H13" s="231">
        <v>6</v>
      </c>
      <c r="I13" s="231">
        <v>1</v>
      </c>
      <c r="J13" s="231">
        <v>1</v>
      </c>
      <c r="K13" s="231">
        <v>0</v>
      </c>
      <c r="L13" s="231">
        <v>4</v>
      </c>
      <c r="M13" s="6">
        <v>182</v>
      </c>
      <c r="N13" s="95" t="s">
        <v>124</v>
      </c>
    </row>
    <row r="14" spans="1:18" ht="16.5" customHeight="1" thickBot="1">
      <c r="A14" s="810" t="s">
        <v>123</v>
      </c>
      <c r="B14" s="231">
        <v>0</v>
      </c>
      <c r="C14" s="231">
        <v>0</v>
      </c>
      <c r="D14" s="231">
        <v>5</v>
      </c>
      <c r="E14" s="231">
        <v>39</v>
      </c>
      <c r="F14" s="231">
        <v>64</v>
      </c>
      <c r="G14" s="231">
        <v>33</v>
      </c>
      <c r="H14" s="231">
        <v>3</v>
      </c>
      <c r="I14" s="231">
        <v>1</v>
      </c>
      <c r="J14" s="231">
        <v>1</v>
      </c>
      <c r="K14" s="231">
        <v>0</v>
      </c>
      <c r="L14" s="231">
        <v>1</v>
      </c>
      <c r="M14" s="6">
        <v>147</v>
      </c>
      <c r="N14" s="95" t="s">
        <v>123</v>
      </c>
    </row>
    <row r="15" spans="1:18" ht="16.5" customHeight="1" thickBot="1">
      <c r="A15" s="810" t="s">
        <v>122</v>
      </c>
      <c r="B15" s="231">
        <v>0</v>
      </c>
      <c r="C15" s="231">
        <v>1</v>
      </c>
      <c r="D15" s="231">
        <v>2</v>
      </c>
      <c r="E15" s="231">
        <v>5</v>
      </c>
      <c r="F15" s="231">
        <v>18</v>
      </c>
      <c r="G15" s="231">
        <v>41</v>
      </c>
      <c r="H15" s="231">
        <v>23</v>
      </c>
      <c r="I15" s="231">
        <v>8</v>
      </c>
      <c r="J15" s="231">
        <v>1</v>
      </c>
      <c r="K15" s="231">
        <v>1</v>
      </c>
      <c r="L15" s="231">
        <v>2</v>
      </c>
      <c r="M15" s="6">
        <v>102</v>
      </c>
      <c r="N15" s="95" t="s">
        <v>122</v>
      </c>
    </row>
    <row r="16" spans="1:18" ht="16.5" customHeight="1" thickBot="1">
      <c r="A16" s="810" t="s">
        <v>121</v>
      </c>
      <c r="B16" s="231">
        <v>0</v>
      </c>
      <c r="C16" s="231">
        <v>0</v>
      </c>
      <c r="D16" s="231">
        <v>0</v>
      </c>
      <c r="E16" s="231">
        <v>5</v>
      </c>
      <c r="F16" s="231">
        <v>10</v>
      </c>
      <c r="G16" s="231">
        <v>17</v>
      </c>
      <c r="H16" s="231">
        <v>21</v>
      </c>
      <c r="I16" s="231">
        <v>7</v>
      </c>
      <c r="J16" s="231">
        <v>1</v>
      </c>
      <c r="K16" s="231">
        <v>0</v>
      </c>
      <c r="L16" s="231">
        <v>0</v>
      </c>
      <c r="M16" s="6">
        <v>61</v>
      </c>
      <c r="N16" s="95" t="s">
        <v>121</v>
      </c>
    </row>
    <row r="17" spans="1:14" ht="16.5" customHeight="1" thickBot="1">
      <c r="A17" s="810" t="s">
        <v>120</v>
      </c>
      <c r="B17" s="231">
        <v>0</v>
      </c>
      <c r="C17" s="231">
        <v>0</v>
      </c>
      <c r="D17" s="231">
        <v>0</v>
      </c>
      <c r="E17" s="231">
        <v>4</v>
      </c>
      <c r="F17" s="231">
        <v>1</v>
      </c>
      <c r="G17" s="231">
        <v>10</v>
      </c>
      <c r="H17" s="231">
        <v>13</v>
      </c>
      <c r="I17" s="231">
        <v>8</v>
      </c>
      <c r="J17" s="231">
        <v>5</v>
      </c>
      <c r="K17" s="231">
        <v>2</v>
      </c>
      <c r="L17" s="231">
        <v>0</v>
      </c>
      <c r="M17" s="6">
        <v>43</v>
      </c>
      <c r="N17" s="95" t="s">
        <v>120</v>
      </c>
    </row>
    <row r="18" spans="1:14" ht="16.5" customHeight="1" thickBot="1">
      <c r="A18" s="810" t="s">
        <v>119</v>
      </c>
      <c r="B18" s="231">
        <v>0</v>
      </c>
      <c r="C18" s="231">
        <v>0</v>
      </c>
      <c r="D18" s="231">
        <v>0</v>
      </c>
      <c r="E18" s="231">
        <v>0</v>
      </c>
      <c r="F18" s="231">
        <v>1</v>
      </c>
      <c r="G18" s="231">
        <v>0</v>
      </c>
      <c r="H18" s="231">
        <v>7</v>
      </c>
      <c r="I18" s="231">
        <v>11</v>
      </c>
      <c r="J18" s="231">
        <v>3</v>
      </c>
      <c r="K18" s="231">
        <v>2</v>
      </c>
      <c r="L18" s="231">
        <v>1</v>
      </c>
      <c r="M18" s="6">
        <v>25</v>
      </c>
      <c r="N18" s="95" t="s">
        <v>119</v>
      </c>
    </row>
    <row r="19" spans="1:14" ht="16.5" customHeight="1" thickBot="1">
      <c r="A19" s="810" t="s">
        <v>118</v>
      </c>
      <c r="B19" s="231">
        <v>0</v>
      </c>
      <c r="C19" s="231">
        <v>0</v>
      </c>
      <c r="D19" s="231">
        <v>0</v>
      </c>
      <c r="E19" s="231">
        <v>3</v>
      </c>
      <c r="F19" s="231">
        <v>1</v>
      </c>
      <c r="G19" s="231">
        <v>0</v>
      </c>
      <c r="H19" s="231">
        <v>0</v>
      </c>
      <c r="I19" s="231">
        <v>1</v>
      </c>
      <c r="J19" s="231">
        <v>0</v>
      </c>
      <c r="K19" s="231">
        <v>1</v>
      </c>
      <c r="L19" s="231">
        <v>1</v>
      </c>
      <c r="M19" s="6">
        <v>7</v>
      </c>
      <c r="N19" s="95" t="s">
        <v>118</v>
      </c>
    </row>
    <row r="20" spans="1:14" ht="16.5" customHeight="1" thickBot="1">
      <c r="A20" s="810" t="s">
        <v>117</v>
      </c>
      <c r="B20" s="231">
        <v>0</v>
      </c>
      <c r="C20" s="231">
        <v>0</v>
      </c>
      <c r="D20" s="231">
        <v>0</v>
      </c>
      <c r="E20" s="231">
        <v>0</v>
      </c>
      <c r="F20" s="231">
        <v>0</v>
      </c>
      <c r="G20" s="231">
        <v>0</v>
      </c>
      <c r="H20" s="231">
        <v>0</v>
      </c>
      <c r="I20" s="231">
        <v>0</v>
      </c>
      <c r="J20" s="231">
        <v>1</v>
      </c>
      <c r="K20" s="231">
        <v>0</v>
      </c>
      <c r="L20" s="231">
        <v>0</v>
      </c>
      <c r="M20" s="6">
        <v>1</v>
      </c>
      <c r="N20" s="95" t="s">
        <v>117</v>
      </c>
    </row>
    <row r="21" spans="1:14" ht="16.5" customHeight="1" thickBot="1">
      <c r="A21" s="810" t="s">
        <v>116</v>
      </c>
      <c r="B21" s="231">
        <v>0</v>
      </c>
      <c r="C21" s="231">
        <v>0</v>
      </c>
      <c r="D21" s="231">
        <v>0</v>
      </c>
      <c r="E21" s="231">
        <v>0</v>
      </c>
      <c r="F21" s="231">
        <v>0</v>
      </c>
      <c r="G21" s="231">
        <v>0</v>
      </c>
      <c r="H21" s="231">
        <v>0</v>
      </c>
      <c r="I21" s="231">
        <v>0</v>
      </c>
      <c r="J21" s="231">
        <v>1</v>
      </c>
      <c r="K21" s="231">
        <v>0</v>
      </c>
      <c r="L21" s="231">
        <v>0</v>
      </c>
      <c r="M21" s="6">
        <v>1</v>
      </c>
      <c r="N21" s="95" t="s">
        <v>116</v>
      </c>
    </row>
    <row r="22" spans="1:14" ht="16.5" customHeight="1" thickBot="1">
      <c r="A22" s="848" t="s">
        <v>14</v>
      </c>
      <c r="B22" s="232">
        <v>0</v>
      </c>
      <c r="C22" s="232">
        <v>0</v>
      </c>
      <c r="D22" s="232">
        <v>0</v>
      </c>
      <c r="E22" s="232">
        <v>1</v>
      </c>
      <c r="F22" s="232">
        <v>2</v>
      </c>
      <c r="G22" s="232">
        <v>2</v>
      </c>
      <c r="H22" s="232">
        <v>0</v>
      </c>
      <c r="I22" s="232">
        <v>3</v>
      </c>
      <c r="J22" s="232">
        <v>0</v>
      </c>
      <c r="K22" s="232">
        <v>0</v>
      </c>
      <c r="L22" s="232">
        <v>1</v>
      </c>
      <c r="M22" s="6">
        <v>9</v>
      </c>
      <c r="N22" s="850" t="s">
        <v>15</v>
      </c>
    </row>
    <row r="23" spans="1:14" ht="27.75" customHeight="1">
      <c r="A23" s="90" t="s">
        <v>16</v>
      </c>
      <c r="B23" s="85">
        <f t="shared" ref="B23:M23" si="0">SUM(B9:B22)</f>
        <v>8</v>
      </c>
      <c r="C23" s="85">
        <f t="shared" si="0"/>
        <v>56</v>
      </c>
      <c r="D23" s="85">
        <f t="shared" si="0"/>
        <v>130</v>
      </c>
      <c r="E23" s="85">
        <f t="shared" si="0"/>
        <v>165</v>
      </c>
      <c r="F23" s="85">
        <f t="shared" si="0"/>
        <v>177</v>
      </c>
      <c r="G23" s="85">
        <f t="shared" si="0"/>
        <v>130</v>
      </c>
      <c r="H23" s="85">
        <f t="shared" si="0"/>
        <v>73</v>
      </c>
      <c r="I23" s="85">
        <f t="shared" si="0"/>
        <v>42</v>
      </c>
      <c r="J23" s="85">
        <f t="shared" si="0"/>
        <v>14</v>
      </c>
      <c r="K23" s="85">
        <f t="shared" si="0"/>
        <v>6</v>
      </c>
      <c r="L23" s="85">
        <f t="shared" si="0"/>
        <v>16</v>
      </c>
      <c r="M23" s="85">
        <f t="shared" si="0"/>
        <v>817</v>
      </c>
      <c r="N23" s="91"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R23"/>
  <sheetViews>
    <sheetView rightToLeft="1" view="pageBreakPreview" topLeftCell="A7" zoomScaleNormal="100" zoomScaleSheetLayoutView="100" workbookViewId="0">
      <selection activeCell="M23" sqref="M23"/>
    </sheetView>
  </sheetViews>
  <sheetFormatPr defaultColWidth="9.140625" defaultRowHeight="12.75"/>
  <cols>
    <col min="1" max="1" width="22.85546875" style="1" customWidth="1"/>
    <col min="2" max="11" width="7.5703125" style="1" customWidth="1"/>
    <col min="12" max="12" width="11.140625" style="1" customWidth="1"/>
    <col min="13" max="13" width="13.42578125" style="1" customWidth="1"/>
    <col min="14" max="14" width="21.28515625" style="1" customWidth="1"/>
    <col min="15" max="16384" width="9.140625" style="1"/>
  </cols>
  <sheetData>
    <row r="1" spans="1:18" s="2" customFormat="1" ht="21.75" customHeight="1">
      <c r="A1" s="1041" t="s">
        <v>342</v>
      </c>
      <c r="B1" s="1041"/>
      <c r="C1" s="1041"/>
      <c r="D1" s="1041"/>
      <c r="E1" s="1041"/>
      <c r="F1" s="1041"/>
      <c r="G1" s="1041"/>
      <c r="H1" s="1041"/>
      <c r="I1" s="1041"/>
      <c r="J1" s="1041"/>
      <c r="K1" s="1041"/>
      <c r="L1" s="1041"/>
      <c r="M1" s="1041"/>
      <c r="N1" s="1041"/>
    </row>
    <row r="2" spans="1:18" s="2" customFormat="1" ht="15.75">
      <c r="A2" s="1068" t="s">
        <v>341</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t="s">
        <v>1</v>
      </c>
      <c r="B4" s="1069"/>
      <c r="C4" s="1069"/>
      <c r="D4" s="1069"/>
      <c r="E4" s="1069"/>
      <c r="F4" s="1069"/>
      <c r="G4" s="1069"/>
      <c r="H4" s="1069"/>
      <c r="I4" s="1069"/>
      <c r="J4" s="1069"/>
      <c r="K4" s="1069"/>
      <c r="L4" s="1069"/>
      <c r="M4" s="1069"/>
      <c r="N4" s="1069"/>
    </row>
    <row r="5" spans="1:18" s="2" customFormat="1" ht="15.75">
      <c r="A5" s="362"/>
      <c r="B5" s="362"/>
      <c r="C5" s="362"/>
      <c r="D5" s="362"/>
      <c r="E5" s="362"/>
      <c r="F5" s="362"/>
      <c r="G5" s="362"/>
      <c r="H5" s="362"/>
      <c r="I5" s="362"/>
      <c r="J5" s="362"/>
      <c r="K5" s="362"/>
      <c r="L5" s="362"/>
      <c r="M5" s="362"/>
      <c r="N5" s="362"/>
    </row>
    <row r="6" spans="1:18" s="29" customFormat="1" ht="15.75">
      <c r="A6" s="374" t="s">
        <v>462</v>
      </c>
      <c r="B6" s="375"/>
      <c r="C6" s="375"/>
      <c r="D6" s="375"/>
      <c r="E6" s="375"/>
      <c r="F6" s="375"/>
      <c r="G6" s="375"/>
      <c r="H6" s="375"/>
      <c r="I6" s="375"/>
      <c r="J6" s="375"/>
      <c r="K6" s="375"/>
      <c r="L6" s="375"/>
      <c r="M6" s="375"/>
      <c r="N6" s="376" t="s">
        <v>506</v>
      </c>
    </row>
    <row r="7" spans="1:18" ht="26.25" customHeight="1" thickBot="1">
      <c r="A7" s="1131" t="s">
        <v>141</v>
      </c>
      <c r="B7" s="1119" t="s">
        <v>135</v>
      </c>
      <c r="C7" s="1119"/>
      <c r="D7" s="1119"/>
      <c r="E7" s="1119"/>
      <c r="F7" s="1119"/>
      <c r="G7" s="1119"/>
      <c r="H7" s="1119"/>
      <c r="I7" s="1119"/>
      <c r="J7" s="1119"/>
      <c r="K7" s="1119"/>
      <c r="L7" s="1119"/>
      <c r="M7" s="1119"/>
      <c r="N7" s="1138" t="s">
        <v>1075</v>
      </c>
    </row>
    <row r="8" spans="1:18" ht="39.75" customHeight="1">
      <c r="A8" s="1132"/>
      <c r="B8" s="323">
        <v>-20</v>
      </c>
      <c r="C8" s="323" t="s">
        <v>127</v>
      </c>
      <c r="D8" s="323" t="s">
        <v>126</v>
      </c>
      <c r="E8" s="323" t="s">
        <v>125</v>
      </c>
      <c r="F8" s="323" t="s">
        <v>124</v>
      </c>
      <c r="G8" s="323" t="s">
        <v>123</v>
      </c>
      <c r="H8" s="323" t="s">
        <v>122</v>
      </c>
      <c r="I8" s="323" t="s">
        <v>121</v>
      </c>
      <c r="J8" s="323" t="s">
        <v>120</v>
      </c>
      <c r="K8" s="323" t="s">
        <v>132</v>
      </c>
      <c r="L8" s="332" t="s">
        <v>647</v>
      </c>
      <c r="M8" s="329" t="s">
        <v>115</v>
      </c>
      <c r="N8" s="1139"/>
    </row>
    <row r="9" spans="1:18" ht="16.5" customHeight="1" thickBot="1">
      <c r="A9" s="810" t="s">
        <v>426</v>
      </c>
      <c r="B9" s="75">
        <v>2</v>
      </c>
      <c r="C9" s="75">
        <v>1</v>
      </c>
      <c r="D9" s="75">
        <v>0</v>
      </c>
      <c r="E9" s="75">
        <v>0</v>
      </c>
      <c r="F9" s="75">
        <v>0</v>
      </c>
      <c r="G9" s="75">
        <v>0</v>
      </c>
      <c r="H9" s="75">
        <v>0</v>
      </c>
      <c r="I9" s="75">
        <v>0</v>
      </c>
      <c r="J9" s="75">
        <v>0</v>
      </c>
      <c r="K9" s="75">
        <v>0</v>
      </c>
      <c r="L9" s="75">
        <v>0</v>
      </c>
      <c r="M9" s="6">
        <v>3</v>
      </c>
      <c r="N9" s="95" t="s">
        <v>426</v>
      </c>
    </row>
    <row r="10" spans="1:18" ht="16.5" customHeight="1" thickBot="1">
      <c r="A10" s="810" t="s">
        <v>127</v>
      </c>
      <c r="B10" s="231">
        <v>18</v>
      </c>
      <c r="C10" s="231">
        <v>75</v>
      </c>
      <c r="D10" s="231">
        <v>11</v>
      </c>
      <c r="E10" s="231">
        <v>3</v>
      </c>
      <c r="F10" s="231">
        <v>0</v>
      </c>
      <c r="G10" s="231">
        <v>0</v>
      </c>
      <c r="H10" s="231">
        <v>0</v>
      </c>
      <c r="I10" s="231">
        <v>0</v>
      </c>
      <c r="J10" s="231">
        <v>0</v>
      </c>
      <c r="K10" s="231">
        <v>0</v>
      </c>
      <c r="L10" s="231">
        <v>2</v>
      </c>
      <c r="M10" s="6">
        <v>109</v>
      </c>
      <c r="N10" s="95" t="s">
        <v>127</v>
      </c>
    </row>
    <row r="11" spans="1:18" ht="16.5" customHeight="1" thickBot="1">
      <c r="A11" s="810" t="s">
        <v>126</v>
      </c>
      <c r="B11" s="231">
        <v>18</v>
      </c>
      <c r="C11" s="231">
        <v>161</v>
      </c>
      <c r="D11" s="231">
        <v>174</v>
      </c>
      <c r="E11" s="231">
        <v>25</v>
      </c>
      <c r="F11" s="231">
        <v>5</v>
      </c>
      <c r="G11" s="231">
        <v>2</v>
      </c>
      <c r="H11" s="231">
        <v>2</v>
      </c>
      <c r="I11" s="231">
        <v>0</v>
      </c>
      <c r="J11" s="231">
        <v>0</v>
      </c>
      <c r="K11" s="231">
        <v>0</v>
      </c>
      <c r="L11" s="231">
        <v>5</v>
      </c>
      <c r="M11" s="6">
        <v>392</v>
      </c>
      <c r="N11" s="95" t="s">
        <v>126</v>
      </c>
    </row>
    <row r="12" spans="1:18" ht="16.5" customHeight="1" thickBot="1">
      <c r="A12" s="810" t="s">
        <v>125</v>
      </c>
      <c r="B12" s="231">
        <v>2</v>
      </c>
      <c r="C12" s="231">
        <v>73</v>
      </c>
      <c r="D12" s="231">
        <v>162</v>
      </c>
      <c r="E12" s="231">
        <v>120</v>
      </c>
      <c r="F12" s="231">
        <v>39</v>
      </c>
      <c r="G12" s="231">
        <v>10</v>
      </c>
      <c r="H12" s="231">
        <v>1</v>
      </c>
      <c r="I12" s="231">
        <v>2</v>
      </c>
      <c r="J12" s="231">
        <v>0</v>
      </c>
      <c r="K12" s="231">
        <v>0</v>
      </c>
      <c r="L12" s="231">
        <v>11</v>
      </c>
      <c r="M12" s="6">
        <v>420</v>
      </c>
      <c r="N12" s="95" t="s">
        <v>125</v>
      </c>
    </row>
    <row r="13" spans="1:18" ht="16.5" customHeight="1" thickBot="1">
      <c r="A13" s="810" t="s">
        <v>124</v>
      </c>
      <c r="B13" s="231">
        <v>1</v>
      </c>
      <c r="C13" s="231">
        <v>14</v>
      </c>
      <c r="D13" s="231">
        <v>70</v>
      </c>
      <c r="E13" s="231">
        <v>115</v>
      </c>
      <c r="F13" s="231">
        <v>114</v>
      </c>
      <c r="G13" s="231">
        <v>42</v>
      </c>
      <c r="H13" s="231">
        <v>6</v>
      </c>
      <c r="I13" s="231">
        <v>2</v>
      </c>
      <c r="J13" s="231">
        <v>1</v>
      </c>
      <c r="K13" s="231">
        <v>0</v>
      </c>
      <c r="L13" s="231">
        <v>4</v>
      </c>
      <c r="M13" s="6">
        <v>369</v>
      </c>
      <c r="N13" s="95" t="s">
        <v>124</v>
      </c>
    </row>
    <row r="14" spans="1:18" ht="16.5" customHeight="1" thickBot="1">
      <c r="A14" s="810" t="s">
        <v>123</v>
      </c>
      <c r="B14" s="231">
        <v>0</v>
      </c>
      <c r="C14" s="231">
        <v>1</v>
      </c>
      <c r="D14" s="231">
        <v>16</v>
      </c>
      <c r="E14" s="231">
        <v>66</v>
      </c>
      <c r="F14" s="231">
        <v>108</v>
      </c>
      <c r="G14" s="231">
        <v>70</v>
      </c>
      <c r="H14" s="231">
        <v>17</v>
      </c>
      <c r="I14" s="231">
        <v>2</v>
      </c>
      <c r="J14" s="231">
        <v>1</v>
      </c>
      <c r="K14" s="231">
        <v>0</v>
      </c>
      <c r="L14" s="231">
        <v>3</v>
      </c>
      <c r="M14" s="6">
        <v>284</v>
      </c>
      <c r="N14" s="95" t="s">
        <v>123</v>
      </c>
    </row>
    <row r="15" spans="1:18" ht="16.5" customHeight="1" thickBot="1">
      <c r="A15" s="810" t="s">
        <v>122</v>
      </c>
      <c r="B15" s="231">
        <v>0</v>
      </c>
      <c r="C15" s="231">
        <v>2</v>
      </c>
      <c r="D15" s="231">
        <v>4</v>
      </c>
      <c r="E15" s="231">
        <v>19</v>
      </c>
      <c r="F15" s="231">
        <v>48</v>
      </c>
      <c r="G15" s="231">
        <v>59</v>
      </c>
      <c r="H15" s="231">
        <v>44</v>
      </c>
      <c r="I15" s="231">
        <v>15</v>
      </c>
      <c r="J15" s="231">
        <v>2</v>
      </c>
      <c r="K15" s="231">
        <v>1</v>
      </c>
      <c r="L15" s="231">
        <v>3</v>
      </c>
      <c r="M15" s="6">
        <v>197</v>
      </c>
      <c r="N15" s="95" t="s">
        <v>122</v>
      </c>
    </row>
    <row r="16" spans="1:18" ht="16.5" customHeight="1" thickBot="1">
      <c r="A16" s="810" t="s">
        <v>121</v>
      </c>
      <c r="B16" s="231">
        <v>0</v>
      </c>
      <c r="C16" s="231">
        <v>0</v>
      </c>
      <c r="D16" s="231">
        <v>0</v>
      </c>
      <c r="E16" s="231">
        <v>12</v>
      </c>
      <c r="F16" s="231">
        <v>23</v>
      </c>
      <c r="G16" s="231">
        <v>31</v>
      </c>
      <c r="H16" s="231">
        <v>43</v>
      </c>
      <c r="I16" s="231">
        <v>27</v>
      </c>
      <c r="J16" s="231">
        <v>6</v>
      </c>
      <c r="K16" s="231">
        <v>1</v>
      </c>
      <c r="L16" s="231">
        <v>0</v>
      </c>
      <c r="M16" s="6">
        <v>143</v>
      </c>
      <c r="N16" s="95" t="s">
        <v>121</v>
      </c>
    </row>
    <row r="17" spans="1:14" ht="16.5" customHeight="1" thickBot="1">
      <c r="A17" s="810" t="s">
        <v>120</v>
      </c>
      <c r="B17" s="231">
        <v>0</v>
      </c>
      <c r="C17" s="231">
        <v>0</v>
      </c>
      <c r="D17" s="231">
        <v>6</v>
      </c>
      <c r="E17" s="231">
        <v>7</v>
      </c>
      <c r="F17" s="231">
        <v>9</v>
      </c>
      <c r="G17" s="231">
        <v>19</v>
      </c>
      <c r="H17" s="231">
        <v>25</v>
      </c>
      <c r="I17" s="231">
        <v>26</v>
      </c>
      <c r="J17" s="231">
        <v>13</v>
      </c>
      <c r="K17" s="231">
        <v>3</v>
      </c>
      <c r="L17" s="231">
        <v>0</v>
      </c>
      <c r="M17" s="6">
        <v>108</v>
      </c>
      <c r="N17" s="95" t="s">
        <v>120</v>
      </c>
    </row>
    <row r="18" spans="1:14" ht="16.5" customHeight="1" thickBot="1">
      <c r="A18" s="810" t="s">
        <v>119</v>
      </c>
      <c r="B18" s="231">
        <v>0</v>
      </c>
      <c r="C18" s="231">
        <v>0</v>
      </c>
      <c r="D18" s="231">
        <v>0</v>
      </c>
      <c r="E18" s="231">
        <v>1</v>
      </c>
      <c r="F18" s="231">
        <v>5</v>
      </c>
      <c r="G18" s="231">
        <v>0</v>
      </c>
      <c r="H18" s="231">
        <v>14</v>
      </c>
      <c r="I18" s="231">
        <v>16</v>
      </c>
      <c r="J18" s="231">
        <v>9</v>
      </c>
      <c r="K18" s="231">
        <v>7</v>
      </c>
      <c r="L18" s="231">
        <v>3</v>
      </c>
      <c r="M18" s="6">
        <v>55</v>
      </c>
      <c r="N18" s="95" t="s">
        <v>119</v>
      </c>
    </row>
    <row r="19" spans="1:14" ht="16.5" customHeight="1" thickBot="1">
      <c r="A19" s="810" t="s">
        <v>118</v>
      </c>
      <c r="B19" s="231">
        <v>0</v>
      </c>
      <c r="C19" s="231">
        <v>0</v>
      </c>
      <c r="D19" s="231">
        <v>1</v>
      </c>
      <c r="E19" s="231">
        <v>3</v>
      </c>
      <c r="F19" s="231">
        <v>6</v>
      </c>
      <c r="G19" s="231">
        <v>1</v>
      </c>
      <c r="H19" s="231">
        <v>1</v>
      </c>
      <c r="I19" s="231">
        <v>4</v>
      </c>
      <c r="J19" s="231">
        <v>6</v>
      </c>
      <c r="K19" s="231">
        <v>4</v>
      </c>
      <c r="L19" s="231">
        <v>2</v>
      </c>
      <c r="M19" s="6">
        <v>28</v>
      </c>
      <c r="N19" s="95" t="s">
        <v>118</v>
      </c>
    </row>
    <row r="20" spans="1:14" ht="16.5" customHeight="1" thickBot="1">
      <c r="A20" s="810" t="s">
        <v>117</v>
      </c>
      <c r="B20" s="231">
        <v>0</v>
      </c>
      <c r="C20" s="231">
        <v>0</v>
      </c>
      <c r="D20" s="231">
        <v>0</v>
      </c>
      <c r="E20" s="231">
        <v>1</v>
      </c>
      <c r="F20" s="231">
        <v>1</v>
      </c>
      <c r="G20" s="231">
        <v>0</v>
      </c>
      <c r="H20" s="231">
        <v>1</v>
      </c>
      <c r="I20" s="231">
        <v>0</v>
      </c>
      <c r="J20" s="231">
        <v>1</v>
      </c>
      <c r="K20" s="231">
        <v>7</v>
      </c>
      <c r="L20" s="231">
        <v>0</v>
      </c>
      <c r="M20" s="6">
        <v>11</v>
      </c>
      <c r="N20" s="95" t="s">
        <v>117</v>
      </c>
    </row>
    <row r="21" spans="1:14" ht="16.5" customHeight="1" thickBot="1">
      <c r="A21" s="810" t="s">
        <v>116</v>
      </c>
      <c r="B21" s="231">
        <v>0</v>
      </c>
      <c r="C21" s="231">
        <v>0</v>
      </c>
      <c r="D21" s="231">
        <v>0</v>
      </c>
      <c r="E21" s="231">
        <v>0</v>
      </c>
      <c r="F21" s="231">
        <v>1</v>
      </c>
      <c r="G21" s="231">
        <v>1</v>
      </c>
      <c r="H21" s="231">
        <v>2</v>
      </c>
      <c r="I21" s="231">
        <v>4</v>
      </c>
      <c r="J21" s="231">
        <v>3</v>
      </c>
      <c r="K21" s="231">
        <v>2</v>
      </c>
      <c r="L21" s="231">
        <v>0</v>
      </c>
      <c r="M21" s="6">
        <v>13</v>
      </c>
      <c r="N21" s="95" t="s">
        <v>116</v>
      </c>
    </row>
    <row r="22" spans="1:14" ht="16.5" customHeight="1" thickBot="1">
      <c r="A22" s="848" t="s">
        <v>14</v>
      </c>
      <c r="B22" s="232">
        <v>0</v>
      </c>
      <c r="C22" s="232">
        <v>0</v>
      </c>
      <c r="D22" s="232">
        <v>0</v>
      </c>
      <c r="E22" s="232">
        <v>1</v>
      </c>
      <c r="F22" s="232">
        <v>2</v>
      </c>
      <c r="G22" s="232">
        <v>2</v>
      </c>
      <c r="H22" s="232">
        <v>0</v>
      </c>
      <c r="I22" s="232">
        <v>3</v>
      </c>
      <c r="J22" s="232">
        <v>0</v>
      </c>
      <c r="K22" s="232">
        <v>0</v>
      </c>
      <c r="L22" s="232">
        <v>1</v>
      </c>
      <c r="M22" s="6">
        <v>9</v>
      </c>
      <c r="N22" s="850" t="s">
        <v>15</v>
      </c>
    </row>
    <row r="23" spans="1:14" ht="27.75" customHeight="1">
      <c r="A23" s="90" t="s">
        <v>16</v>
      </c>
      <c r="B23" s="85">
        <f t="shared" ref="B23:M23" si="0">SUM(B9:B22)</f>
        <v>41</v>
      </c>
      <c r="C23" s="85">
        <f t="shared" si="0"/>
        <v>327</v>
      </c>
      <c r="D23" s="85">
        <f t="shared" si="0"/>
        <v>444</v>
      </c>
      <c r="E23" s="85">
        <f t="shared" si="0"/>
        <v>373</v>
      </c>
      <c r="F23" s="85">
        <f t="shared" si="0"/>
        <v>361</v>
      </c>
      <c r="G23" s="85">
        <f t="shared" si="0"/>
        <v>237</v>
      </c>
      <c r="H23" s="85">
        <f t="shared" si="0"/>
        <v>156</v>
      </c>
      <c r="I23" s="85">
        <f t="shared" si="0"/>
        <v>101</v>
      </c>
      <c r="J23" s="85">
        <f t="shared" si="0"/>
        <v>42</v>
      </c>
      <c r="K23" s="85">
        <f t="shared" si="0"/>
        <v>25</v>
      </c>
      <c r="L23" s="85">
        <f t="shared" si="0"/>
        <v>34</v>
      </c>
      <c r="M23" s="85">
        <f t="shared" si="0"/>
        <v>2141</v>
      </c>
      <c r="N23" s="91" t="s">
        <v>55</v>
      </c>
    </row>
  </sheetData>
  <mergeCells count="7">
    <mergeCell ref="A7:A8"/>
    <mergeCell ref="B7:M7"/>
    <mergeCell ref="N7:N8"/>
    <mergeCell ref="A1:N1"/>
    <mergeCell ref="A2:N2"/>
    <mergeCell ref="A3:N3"/>
    <mergeCell ref="A4:N4"/>
  </mergeCells>
  <printOptions horizontalCentered="1" verticalCentered="1"/>
  <pageMargins left="0" right="0" top="0" bottom="0" header="0" footer="0"/>
  <pageSetup paperSize="9" scale="93" orientation="landscape" r:id="rId1"/>
  <headerFooter alignWithMargins="0"/>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U14"/>
  <sheetViews>
    <sheetView rightToLeft="1" view="pageBreakPreview" zoomScaleNormal="100" zoomScaleSheetLayoutView="100" workbookViewId="0">
      <selection activeCell="J17" sqref="J17"/>
    </sheetView>
  </sheetViews>
  <sheetFormatPr defaultColWidth="9.140625" defaultRowHeight="12.75"/>
  <cols>
    <col min="1" max="1" width="19.28515625" style="1" customWidth="1"/>
    <col min="2" max="13" width="6.85546875" style="1" customWidth="1"/>
    <col min="14" max="14" width="5.28515625" style="1" customWidth="1"/>
    <col min="15" max="15" width="10.140625" style="1" customWidth="1"/>
    <col min="16" max="16" width="8" style="1" customWidth="1"/>
    <col min="17" max="17" width="21.5703125" style="1" customWidth="1"/>
    <col min="18" max="16384" width="9.140625" style="1"/>
  </cols>
  <sheetData>
    <row r="1" spans="1:21" s="2" customFormat="1" ht="21.75" customHeight="1">
      <c r="A1" s="1041" t="s">
        <v>344</v>
      </c>
      <c r="B1" s="1041"/>
      <c r="C1" s="1041"/>
      <c r="D1" s="1041"/>
      <c r="E1" s="1041"/>
      <c r="F1" s="1041"/>
      <c r="G1" s="1041"/>
      <c r="H1" s="1041"/>
      <c r="I1" s="1041"/>
      <c r="J1" s="1041"/>
      <c r="K1" s="1041"/>
      <c r="L1" s="1041"/>
      <c r="M1" s="1041"/>
      <c r="N1" s="1041"/>
      <c r="O1" s="1041"/>
      <c r="P1" s="1041"/>
      <c r="Q1" s="1041"/>
      <c r="R1" s="56"/>
      <c r="S1" s="56"/>
    </row>
    <row r="2" spans="1:21" s="2" customFormat="1" ht="15.75" customHeight="1">
      <c r="A2" s="1069" t="s">
        <v>343</v>
      </c>
      <c r="B2" s="1069"/>
      <c r="C2" s="1069"/>
      <c r="D2" s="1069"/>
      <c r="E2" s="1069"/>
      <c r="F2" s="1069"/>
      <c r="G2" s="1069"/>
      <c r="H2" s="1069"/>
      <c r="I2" s="1069"/>
      <c r="J2" s="1069"/>
      <c r="K2" s="1069"/>
      <c r="L2" s="1069"/>
      <c r="M2" s="1069"/>
      <c r="N2" s="1069"/>
      <c r="O2" s="1069"/>
      <c r="P2" s="1069"/>
      <c r="Q2" s="1069"/>
      <c r="R2" s="55"/>
      <c r="S2" s="55"/>
    </row>
    <row r="3" spans="1:21" s="2" customFormat="1" ht="18" customHeight="1">
      <c r="A3" s="1069">
        <v>2021</v>
      </c>
      <c r="B3" s="1069"/>
      <c r="C3" s="1069"/>
      <c r="D3" s="1069"/>
      <c r="E3" s="1069"/>
      <c r="F3" s="1069"/>
      <c r="G3" s="1069"/>
      <c r="H3" s="1069"/>
      <c r="I3" s="1069"/>
      <c r="J3" s="1069"/>
      <c r="K3" s="1069"/>
      <c r="L3" s="1069"/>
      <c r="M3" s="1069"/>
      <c r="N3" s="1069"/>
      <c r="O3" s="1069"/>
      <c r="P3" s="1069"/>
      <c r="Q3" s="1069"/>
      <c r="R3" s="54"/>
      <c r="S3" s="54"/>
      <c r="T3" s="54"/>
      <c r="U3" s="54"/>
    </row>
    <row r="4" spans="1:21" s="2" customFormat="1" ht="15.75">
      <c r="A4" s="1069"/>
      <c r="B4" s="1069"/>
      <c r="C4" s="1069"/>
      <c r="D4" s="1069"/>
      <c r="E4" s="1069"/>
      <c r="F4" s="1069"/>
      <c r="G4" s="1069"/>
      <c r="H4" s="1069"/>
      <c r="I4" s="1069"/>
      <c r="J4" s="1069"/>
      <c r="K4" s="1069"/>
      <c r="L4" s="1069"/>
      <c r="M4" s="1069"/>
      <c r="N4" s="1069"/>
      <c r="O4" s="1069"/>
      <c r="P4" s="1069"/>
      <c r="Q4" s="1069"/>
    </row>
    <row r="5" spans="1:21" s="29" customFormat="1" ht="15.75">
      <c r="A5" s="374" t="s">
        <v>508</v>
      </c>
      <c r="B5" s="375"/>
      <c r="C5" s="375"/>
      <c r="D5" s="375"/>
      <c r="E5" s="375"/>
      <c r="F5" s="375"/>
      <c r="G5" s="375"/>
      <c r="H5" s="375"/>
      <c r="I5" s="375"/>
      <c r="J5" s="375"/>
      <c r="K5" s="375"/>
      <c r="L5" s="375"/>
      <c r="M5" s="375"/>
      <c r="N5" s="375"/>
      <c r="O5" s="375"/>
      <c r="P5" s="375"/>
      <c r="Q5" s="376" t="s">
        <v>509</v>
      </c>
    </row>
    <row r="6" spans="1:21" ht="26.25" customHeight="1" thickBot="1">
      <c r="A6" s="1131" t="s">
        <v>110</v>
      </c>
      <c r="B6" s="1119" t="s">
        <v>543</v>
      </c>
      <c r="C6" s="1211"/>
      <c r="D6" s="1211"/>
      <c r="E6" s="1211"/>
      <c r="F6" s="1211"/>
      <c r="G6" s="1211"/>
      <c r="H6" s="1211"/>
      <c r="I6" s="1211"/>
      <c r="J6" s="1211"/>
      <c r="K6" s="1211"/>
      <c r="L6" s="1211"/>
      <c r="M6" s="1211"/>
      <c r="N6" s="1211"/>
      <c r="O6" s="1211"/>
      <c r="P6" s="1211"/>
      <c r="Q6" s="1133" t="s">
        <v>108</v>
      </c>
    </row>
    <row r="7" spans="1:21" ht="37.5" customHeight="1">
      <c r="A7" s="1132" t="s">
        <v>110</v>
      </c>
      <c r="B7" s="323">
        <v>-20</v>
      </c>
      <c r="C7" s="323" t="s">
        <v>127</v>
      </c>
      <c r="D7" s="323" t="s">
        <v>126</v>
      </c>
      <c r="E7" s="323" t="s">
        <v>125</v>
      </c>
      <c r="F7" s="323" t="s">
        <v>124</v>
      </c>
      <c r="G7" s="323" t="s">
        <v>123</v>
      </c>
      <c r="H7" s="323" t="s">
        <v>122</v>
      </c>
      <c r="I7" s="323" t="s">
        <v>121</v>
      </c>
      <c r="J7" s="323" t="s">
        <v>120</v>
      </c>
      <c r="K7" s="323" t="s">
        <v>119</v>
      </c>
      <c r="L7" s="323" t="s">
        <v>118</v>
      </c>
      <c r="M7" s="323" t="s">
        <v>117</v>
      </c>
      <c r="N7" s="323" t="s">
        <v>116</v>
      </c>
      <c r="O7" s="332" t="s">
        <v>647</v>
      </c>
      <c r="P7" s="329" t="s">
        <v>115</v>
      </c>
      <c r="Q7" s="1134"/>
    </row>
    <row r="8" spans="1:21" ht="30.75" customHeight="1" thickBot="1">
      <c r="A8" s="118" t="s">
        <v>106</v>
      </c>
      <c r="B8" s="20">
        <v>0</v>
      </c>
      <c r="C8" s="20">
        <v>100</v>
      </c>
      <c r="D8" s="20">
        <v>314</v>
      </c>
      <c r="E8" s="20">
        <v>271</v>
      </c>
      <c r="F8" s="20">
        <v>187</v>
      </c>
      <c r="G8" s="20">
        <v>137</v>
      </c>
      <c r="H8" s="20">
        <v>95</v>
      </c>
      <c r="I8" s="20">
        <v>82</v>
      </c>
      <c r="J8" s="20">
        <v>65</v>
      </c>
      <c r="K8" s="20">
        <v>30</v>
      </c>
      <c r="L8" s="20">
        <v>21</v>
      </c>
      <c r="M8" s="20">
        <v>10</v>
      </c>
      <c r="N8" s="20">
        <v>12</v>
      </c>
      <c r="O8" s="20">
        <v>0</v>
      </c>
      <c r="P8" s="19">
        <v>1324</v>
      </c>
      <c r="Q8" s="44" t="s">
        <v>1091</v>
      </c>
    </row>
    <row r="9" spans="1:21" ht="30.75" customHeight="1" thickBot="1">
      <c r="A9" s="233" t="s">
        <v>105</v>
      </c>
      <c r="B9" s="227">
        <v>2</v>
      </c>
      <c r="C9" s="227">
        <v>0</v>
      </c>
      <c r="D9" s="227">
        <v>8</v>
      </c>
      <c r="E9" s="227">
        <v>14</v>
      </c>
      <c r="F9" s="227">
        <v>13</v>
      </c>
      <c r="G9" s="227">
        <v>7</v>
      </c>
      <c r="H9" s="227">
        <v>9</v>
      </c>
      <c r="I9" s="227">
        <v>5</v>
      </c>
      <c r="J9" s="227">
        <v>3</v>
      </c>
      <c r="K9" s="227">
        <v>2</v>
      </c>
      <c r="L9" s="227">
        <v>0</v>
      </c>
      <c r="M9" s="227">
        <v>0</v>
      </c>
      <c r="N9" s="227">
        <v>0</v>
      </c>
      <c r="O9" s="227">
        <v>2</v>
      </c>
      <c r="P9" s="19">
        <v>65</v>
      </c>
      <c r="Q9" s="97" t="s">
        <v>422</v>
      </c>
    </row>
    <row r="10" spans="1:21" ht="30.75" customHeight="1" thickBot="1">
      <c r="A10" s="233" t="s">
        <v>104</v>
      </c>
      <c r="B10" s="227">
        <v>1</v>
      </c>
      <c r="C10" s="227">
        <v>8</v>
      </c>
      <c r="D10" s="227">
        <v>49</v>
      </c>
      <c r="E10" s="227">
        <v>106</v>
      </c>
      <c r="F10" s="227">
        <v>138</v>
      </c>
      <c r="G10" s="227">
        <v>111</v>
      </c>
      <c r="H10" s="227">
        <v>72</v>
      </c>
      <c r="I10" s="227">
        <v>40</v>
      </c>
      <c r="J10" s="227">
        <v>27</v>
      </c>
      <c r="K10" s="227">
        <v>17</v>
      </c>
      <c r="L10" s="227">
        <v>5</v>
      </c>
      <c r="M10" s="227">
        <v>1</v>
      </c>
      <c r="N10" s="227">
        <v>1</v>
      </c>
      <c r="O10" s="227">
        <v>2</v>
      </c>
      <c r="P10" s="19">
        <v>578</v>
      </c>
      <c r="Q10" s="97" t="s">
        <v>423</v>
      </c>
    </row>
    <row r="11" spans="1:21" ht="30.75" customHeight="1" thickBot="1">
      <c r="A11" s="67" t="s">
        <v>731</v>
      </c>
      <c r="B11" s="227">
        <v>0</v>
      </c>
      <c r="C11" s="227">
        <v>1</v>
      </c>
      <c r="D11" s="227">
        <v>20</v>
      </c>
      <c r="E11" s="227">
        <v>24</v>
      </c>
      <c r="F11" s="227">
        <v>18</v>
      </c>
      <c r="G11" s="227">
        <v>19</v>
      </c>
      <c r="H11" s="227">
        <v>11</v>
      </c>
      <c r="I11" s="227">
        <v>6</v>
      </c>
      <c r="J11" s="227">
        <v>3</v>
      </c>
      <c r="K11" s="227">
        <v>3</v>
      </c>
      <c r="L11" s="227">
        <v>1</v>
      </c>
      <c r="M11" s="227">
        <v>0</v>
      </c>
      <c r="N11" s="227">
        <v>0</v>
      </c>
      <c r="O11" s="227">
        <v>3</v>
      </c>
      <c r="P11" s="19">
        <v>109</v>
      </c>
      <c r="Q11" s="97" t="s">
        <v>424</v>
      </c>
    </row>
    <row r="12" spans="1:21" ht="30.75" customHeight="1" thickBot="1">
      <c r="A12" s="66" t="s">
        <v>732</v>
      </c>
      <c r="B12" s="227">
        <v>0</v>
      </c>
      <c r="C12" s="227">
        <v>0</v>
      </c>
      <c r="D12" s="227">
        <v>0</v>
      </c>
      <c r="E12" s="227">
        <v>3</v>
      </c>
      <c r="F12" s="227">
        <v>3</v>
      </c>
      <c r="G12" s="227">
        <v>5</v>
      </c>
      <c r="H12" s="227">
        <v>5</v>
      </c>
      <c r="I12" s="227">
        <v>7</v>
      </c>
      <c r="J12" s="227">
        <v>4</v>
      </c>
      <c r="K12" s="227">
        <v>1</v>
      </c>
      <c r="L12" s="227">
        <v>0</v>
      </c>
      <c r="M12" s="227">
        <v>0</v>
      </c>
      <c r="N12" s="227">
        <v>0</v>
      </c>
      <c r="O12" s="227">
        <v>2</v>
      </c>
      <c r="P12" s="19">
        <v>30</v>
      </c>
      <c r="Q12" s="44" t="s">
        <v>1092</v>
      </c>
    </row>
    <row r="13" spans="1:21" ht="30.75" customHeight="1" thickBot="1">
      <c r="A13" s="65" t="s">
        <v>1093</v>
      </c>
      <c r="B13" s="228">
        <v>0</v>
      </c>
      <c r="C13" s="228">
        <v>0</v>
      </c>
      <c r="D13" s="228">
        <v>1</v>
      </c>
      <c r="E13" s="228">
        <v>2</v>
      </c>
      <c r="F13" s="228">
        <v>10</v>
      </c>
      <c r="G13" s="228">
        <v>5</v>
      </c>
      <c r="H13" s="228">
        <v>5</v>
      </c>
      <c r="I13" s="228">
        <v>3</v>
      </c>
      <c r="J13" s="228">
        <v>6</v>
      </c>
      <c r="K13" s="228">
        <v>2</v>
      </c>
      <c r="L13" s="228">
        <v>1</v>
      </c>
      <c r="M13" s="228">
        <v>0</v>
      </c>
      <c r="N13" s="228">
        <v>0</v>
      </c>
      <c r="O13" s="228">
        <v>0</v>
      </c>
      <c r="P13" s="19">
        <v>35</v>
      </c>
      <c r="Q13" s="98" t="s">
        <v>425</v>
      </c>
    </row>
    <row r="14" spans="1:21" ht="33" customHeight="1">
      <c r="A14" s="90" t="s">
        <v>16</v>
      </c>
      <c r="B14" s="85">
        <f t="shared" ref="B14:P14" si="0">SUM(B8:B13)</f>
        <v>3</v>
      </c>
      <c r="C14" s="85">
        <f t="shared" si="0"/>
        <v>109</v>
      </c>
      <c r="D14" s="85">
        <f t="shared" si="0"/>
        <v>392</v>
      </c>
      <c r="E14" s="85">
        <f t="shared" si="0"/>
        <v>420</v>
      </c>
      <c r="F14" s="85">
        <f t="shared" si="0"/>
        <v>369</v>
      </c>
      <c r="G14" s="85">
        <f t="shared" si="0"/>
        <v>284</v>
      </c>
      <c r="H14" s="85">
        <f t="shared" si="0"/>
        <v>197</v>
      </c>
      <c r="I14" s="85">
        <f t="shared" si="0"/>
        <v>143</v>
      </c>
      <c r="J14" s="85">
        <f t="shared" si="0"/>
        <v>108</v>
      </c>
      <c r="K14" s="85">
        <f t="shared" si="0"/>
        <v>55</v>
      </c>
      <c r="L14" s="85">
        <f t="shared" si="0"/>
        <v>28</v>
      </c>
      <c r="M14" s="85">
        <f t="shared" si="0"/>
        <v>11</v>
      </c>
      <c r="N14" s="85">
        <f t="shared" si="0"/>
        <v>13</v>
      </c>
      <c r="O14" s="85">
        <f t="shared" si="0"/>
        <v>9</v>
      </c>
      <c r="P14" s="85">
        <f t="shared" si="0"/>
        <v>2141</v>
      </c>
      <c r="Q14" s="91" t="s">
        <v>55</v>
      </c>
    </row>
  </sheetData>
  <mergeCells count="7">
    <mergeCell ref="A6:A7"/>
    <mergeCell ref="B6:P6"/>
    <mergeCell ref="Q6:Q7"/>
    <mergeCell ref="A1:Q1"/>
    <mergeCell ref="A2:Q2"/>
    <mergeCell ref="A3:Q3"/>
    <mergeCell ref="A4:Q4"/>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K32"/>
  <sheetViews>
    <sheetView rightToLeft="1" view="pageBreakPreview" topLeftCell="A25" zoomScaleNormal="100" zoomScaleSheetLayoutView="100" workbookViewId="0">
      <selection activeCell="G11" sqref="G11"/>
    </sheetView>
  </sheetViews>
  <sheetFormatPr defaultColWidth="9.140625" defaultRowHeight="12.75"/>
  <cols>
    <col min="1" max="1" width="4.140625" style="2" customWidth="1"/>
    <col min="2" max="2" width="35.7109375" style="2" customWidth="1"/>
    <col min="3" max="3" width="5.7109375" style="2" customWidth="1"/>
    <col min="4" max="4" width="5.28515625" style="2" customWidth="1"/>
    <col min="5" max="5" width="5.7109375" style="2" customWidth="1"/>
    <col min="6" max="6" width="35.7109375" style="2" customWidth="1"/>
    <col min="7" max="16384" width="9.140625" style="2"/>
  </cols>
  <sheetData>
    <row r="1" spans="2:11" ht="41.25" customHeight="1" thickBot="1">
      <c r="B1" s="1036" t="s">
        <v>842</v>
      </c>
      <c r="C1" s="1036"/>
      <c r="D1" s="691"/>
      <c r="E1" s="691"/>
      <c r="F1" s="719" t="s">
        <v>939</v>
      </c>
    </row>
    <row r="2" spans="2:11" s="714" customFormat="1" ht="27.75" customHeight="1" thickBot="1">
      <c r="B2" s="1034" t="s">
        <v>938</v>
      </c>
      <c r="C2" s="1035"/>
      <c r="D2" s="715"/>
      <c r="E2" s="1032" t="s">
        <v>937</v>
      </c>
      <c r="F2" s="1033"/>
    </row>
    <row r="3" spans="2:11" ht="16.5">
      <c r="B3" s="639"/>
      <c r="C3" s="639"/>
      <c r="D3" s="637"/>
      <c r="E3" s="637"/>
      <c r="F3" s="638"/>
    </row>
    <row r="4" spans="2:11" ht="17.25" customHeight="1">
      <c r="B4" s="1037" t="s">
        <v>936</v>
      </c>
      <c r="C4" s="1037"/>
      <c r="D4" s="637"/>
      <c r="E4" s="1038" t="s">
        <v>935</v>
      </c>
      <c r="F4" s="1038"/>
    </row>
    <row r="5" spans="2:11" ht="43.5" customHeight="1">
      <c r="B5" s="1026" t="s">
        <v>934</v>
      </c>
      <c r="C5" s="1026"/>
      <c r="E5" s="1027" t="s">
        <v>933</v>
      </c>
      <c r="F5" s="1027"/>
    </row>
    <row r="6" spans="2:11" ht="14.25" customHeight="1">
      <c r="B6" s="1029" t="s">
        <v>901</v>
      </c>
      <c r="C6" s="1030" t="s">
        <v>921</v>
      </c>
      <c r="D6" s="1030"/>
      <c r="E6" s="1030"/>
      <c r="F6" s="1028" t="s">
        <v>932</v>
      </c>
      <c r="G6" s="711"/>
      <c r="K6" s="710"/>
    </row>
    <row r="7" spans="2:11" ht="14.25" customHeight="1">
      <c r="B7" s="1029"/>
      <c r="C7" s="1031" t="s">
        <v>908</v>
      </c>
      <c r="D7" s="1031"/>
      <c r="E7" s="1031"/>
      <c r="F7" s="1028"/>
      <c r="G7" s="711"/>
      <c r="K7" s="710"/>
    </row>
    <row r="8" spans="2:11" ht="15.75">
      <c r="B8" s="1026" t="s">
        <v>931</v>
      </c>
      <c r="C8" s="1026"/>
      <c r="E8" s="716"/>
      <c r="F8" s="718" t="s">
        <v>930</v>
      </c>
    </row>
    <row r="9" spans="2:11" ht="30.75" customHeight="1">
      <c r="B9" s="1026" t="s">
        <v>929</v>
      </c>
      <c r="C9" s="1026"/>
      <c r="E9" s="716"/>
      <c r="F9" s="718" t="s">
        <v>928</v>
      </c>
    </row>
    <row r="10" spans="2:11" ht="15.75">
      <c r="B10" s="1026" t="s">
        <v>927</v>
      </c>
      <c r="C10" s="1026"/>
      <c r="E10" s="716"/>
      <c r="F10" s="718" t="s">
        <v>926</v>
      </c>
    </row>
    <row r="12" spans="2:11" ht="15.75">
      <c r="B12" s="710" t="s">
        <v>925</v>
      </c>
      <c r="C12" s="713"/>
      <c r="D12" s="713"/>
      <c r="F12" s="712" t="s">
        <v>924</v>
      </c>
    </row>
    <row r="13" spans="2:11" ht="41.25" customHeight="1">
      <c r="B13" s="1026" t="s">
        <v>923</v>
      </c>
      <c r="C13" s="1026"/>
      <c r="E13" s="1027" t="s">
        <v>922</v>
      </c>
      <c r="F13" s="1027"/>
    </row>
    <row r="14" spans="2:11" ht="14.25" customHeight="1">
      <c r="B14" s="1029" t="s">
        <v>901</v>
      </c>
      <c r="C14" s="1030" t="s">
        <v>921</v>
      </c>
      <c r="D14" s="1030"/>
      <c r="E14" s="1030"/>
      <c r="F14" s="1028" t="s">
        <v>920</v>
      </c>
    </row>
    <row r="15" spans="2:11" ht="14.25" customHeight="1">
      <c r="B15" s="1029"/>
      <c r="C15" s="1031" t="s">
        <v>898</v>
      </c>
      <c r="D15" s="1031"/>
      <c r="E15" s="1031"/>
      <c r="F15" s="1028"/>
    </row>
    <row r="17" spans="2:11" ht="15.75">
      <c r="B17" s="710" t="s">
        <v>919</v>
      </c>
      <c r="C17" s="713"/>
      <c r="D17" s="713"/>
      <c r="F17" s="712" t="s">
        <v>918</v>
      </c>
    </row>
    <row r="18" spans="2:11" ht="68.25" customHeight="1">
      <c r="B18" s="1026" t="s">
        <v>917</v>
      </c>
      <c r="C18" s="1026"/>
      <c r="E18" s="1027" t="s">
        <v>916</v>
      </c>
      <c r="F18" s="1027"/>
    </row>
    <row r="19" spans="2:11" ht="12.75" customHeight="1">
      <c r="B19" s="717"/>
      <c r="C19" s="717"/>
      <c r="E19" s="716"/>
      <c r="F19" s="716"/>
    </row>
    <row r="20" spans="2:11" ht="13.5" thickBot="1"/>
    <row r="21" spans="2:11" s="714" customFormat="1" ht="27.75" customHeight="1" thickBot="1">
      <c r="B21" s="1034" t="s">
        <v>915</v>
      </c>
      <c r="C21" s="1035"/>
      <c r="D21" s="715"/>
      <c r="E21" s="1032" t="s">
        <v>914</v>
      </c>
      <c r="F21" s="1033"/>
    </row>
    <row r="22" spans="2:11" ht="21.75" customHeight="1">
      <c r="B22" s="710" t="s">
        <v>913</v>
      </c>
      <c r="F22" s="712" t="s">
        <v>912</v>
      </c>
    </row>
    <row r="23" spans="2:11" ht="38.25" customHeight="1">
      <c r="B23" s="1026" t="s">
        <v>911</v>
      </c>
      <c r="C23" s="1026"/>
      <c r="E23" s="1027" t="s">
        <v>910</v>
      </c>
      <c r="F23" s="1027"/>
    </row>
    <row r="24" spans="2:11" ht="15.75">
      <c r="B24" s="1026" t="s">
        <v>903</v>
      </c>
      <c r="C24" s="1026"/>
      <c r="E24" s="1027" t="s">
        <v>909</v>
      </c>
      <c r="F24" s="1027"/>
    </row>
    <row r="25" spans="2:11" ht="14.25" customHeight="1">
      <c r="B25" s="1029" t="s">
        <v>901</v>
      </c>
      <c r="C25" s="1030" t="s">
        <v>900</v>
      </c>
      <c r="D25" s="1030"/>
      <c r="E25" s="1030"/>
      <c r="F25" s="1028" t="s">
        <v>899</v>
      </c>
      <c r="G25" s="711"/>
      <c r="K25" s="710"/>
    </row>
    <row r="26" spans="2:11" ht="14.25" customHeight="1">
      <c r="B26" s="1029"/>
      <c r="C26" s="1031" t="s">
        <v>908</v>
      </c>
      <c r="D26" s="1031"/>
      <c r="E26" s="1031"/>
      <c r="F26" s="1028"/>
      <c r="G26" s="711"/>
      <c r="K26" s="710"/>
    </row>
    <row r="28" spans="2:11" ht="15.75">
      <c r="B28" s="710" t="s">
        <v>907</v>
      </c>
      <c r="C28" s="713"/>
      <c r="D28" s="713"/>
      <c r="F28" s="712" t="s">
        <v>906</v>
      </c>
    </row>
    <row r="29" spans="2:11" ht="43.5" customHeight="1">
      <c r="B29" s="1026" t="s">
        <v>905</v>
      </c>
      <c r="C29" s="1026"/>
      <c r="E29" s="1027" t="s">
        <v>904</v>
      </c>
      <c r="F29" s="1027"/>
    </row>
    <row r="30" spans="2:11" ht="18.75" customHeight="1">
      <c r="B30" s="1026" t="s">
        <v>903</v>
      </c>
      <c r="C30" s="1026"/>
      <c r="E30" s="1027" t="s">
        <v>902</v>
      </c>
      <c r="F30" s="1027"/>
    </row>
    <row r="31" spans="2:11" ht="14.25" customHeight="1">
      <c r="B31" s="1029" t="s">
        <v>901</v>
      </c>
      <c r="C31" s="1030" t="s">
        <v>900</v>
      </c>
      <c r="D31" s="1030"/>
      <c r="E31" s="1030"/>
      <c r="F31" s="1028" t="s">
        <v>899</v>
      </c>
      <c r="G31" s="711"/>
      <c r="K31" s="710"/>
    </row>
    <row r="32" spans="2:11" ht="14.25" customHeight="1">
      <c r="B32" s="1029"/>
      <c r="C32" s="1031" t="s">
        <v>898</v>
      </c>
      <c r="D32" s="1031"/>
      <c r="E32" s="1031"/>
      <c r="F32" s="1028"/>
      <c r="G32" s="711"/>
      <c r="K32" s="710"/>
    </row>
  </sheetData>
  <mergeCells count="40">
    <mergeCell ref="B2:C2"/>
    <mergeCell ref="B1:C1"/>
    <mergeCell ref="B4:C4"/>
    <mergeCell ref="B5:C5"/>
    <mergeCell ref="E2:F2"/>
    <mergeCell ref="E5:F5"/>
    <mergeCell ref="E4:F4"/>
    <mergeCell ref="C6:E6"/>
    <mergeCell ref="C7:E7"/>
    <mergeCell ref="B8:C8"/>
    <mergeCell ref="B9:C9"/>
    <mergeCell ref="F6:F7"/>
    <mergeCell ref="B6:B7"/>
    <mergeCell ref="E29:F29"/>
    <mergeCell ref="E30:F30"/>
    <mergeCell ref="B14:B15"/>
    <mergeCell ref="C14:E14"/>
    <mergeCell ref="C15:E15"/>
    <mergeCell ref="E24:F24"/>
    <mergeCell ref="E21:F21"/>
    <mergeCell ref="B18:C18"/>
    <mergeCell ref="E18:F18"/>
    <mergeCell ref="B21:C21"/>
    <mergeCell ref="B23:C23"/>
    <mergeCell ref="B10:C10"/>
    <mergeCell ref="B13:C13"/>
    <mergeCell ref="E13:F13"/>
    <mergeCell ref="F14:F15"/>
    <mergeCell ref="B31:B32"/>
    <mergeCell ref="C31:E31"/>
    <mergeCell ref="F31:F32"/>
    <mergeCell ref="C32:E32"/>
    <mergeCell ref="B25:B26"/>
    <mergeCell ref="C25:E25"/>
    <mergeCell ref="F25:F26"/>
    <mergeCell ref="C26:E26"/>
    <mergeCell ref="B29:C29"/>
    <mergeCell ref="B30:C30"/>
    <mergeCell ref="B24:C24"/>
    <mergeCell ref="E23:F23"/>
  </mergeCells>
  <pageMargins left="0.74803149606299213" right="0.74803149606299213" top="0.98425196850393704" bottom="0.98425196850393704" header="0.51181102362204722" footer="0.51181102362204722"/>
  <pageSetup paperSize="9" scale="78"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R14"/>
  <sheetViews>
    <sheetView rightToLeft="1" view="pageBreakPreview" zoomScaleNormal="100" zoomScaleSheetLayoutView="100" workbookViewId="0">
      <selection activeCell="E19" sqref="E19"/>
    </sheetView>
  </sheetViews>
  <sheetFormatPr defaultColWidth="9.140625" defaultRowHeight="12.75"/>
  <cols>
    <col min="1" max="1" width="19.28515625" style="1" customWidth="1"/>
    <col min="2" max="2" width="8.7109375" style="1" customWidth="1"/>
    <col min="3" max="3" width="7.5703125" style="1" customWidth="1"/>
    <col min="4" max="4" width="7.7109375" style="1" customWidth="1"/>
    <col min="5" max="5" width="7.85546875" style="1" customWidth="1"/>
    <col min="6" max="6" width="7.42578125" style="1" customWidth="1"/>
    <col min="7" max="7" width="7.7109375" style="1" customWidth="1"/>
    <col min="8" max="8" width="7.85546875" style="1" customWidth="1"/>
    <col min="9" max="9" width="7.7109375" style="1" customWidth="1"/>
    <col min="10" max="10" width="7.85546875" style="1" customWidth="1"/>
    <col min="11" max="11" width="6.42578125" style="1" customWidth="1"/>
    <col min="12" max="12" width="11.5703125" style="1" customWidth="1"/>
    <col min="13" max="13" width="13.42578125" style="1" customWidth="1"/>
    <col min="14" max="14" width="21.42578125" style="1" customWidth="1"/>
    <col min="15" max="16384" width="9.140625" style="1"/>
  </cols>
  <sheetData>
    <row r="1" spans="1:18" s="2" customFormat="1" ht="21.75" customHeight="1">
      <c r="A1" s="1041" t="s">
        <v>346</v>
      </c>
      <c r="B1" s="1041"/>
      <c r="C1" s="1041"/>
      <c r="D1" s="1041"/>
      <c r="E1" s="1041"/>
      <c r="F1" s="1041"/>
      <c r="G1" s="1041"/>
      <c r="H1" s="1041"/>
      <c r="I1" s="1041"/>
      <c r="J1" s="1041"/>
      <c r="K1" s="1041"/>
      <c r="L1" s="1041"/>
      <c r="M1" s="1041"/>
      <c r="N1" s="1041"/>
      <c r="O1" s="56"/>
      <c r="P1" s="56"/>
    </row>
    <row r="2" spans="1:18" s="2" customFormat="1" ht="15.75" customHeight="1">
      <c r="A2" s="1069" t="s">
        <v>345</v>
      </c>
      <c r="B2" s="1069"/>
      <c r="C2" s="1069"/>
      <c r="D2" s="1069"/>
      <c r="E2" s="1069"/>
      <c r="F2" s="1069"/>
      <c r="G2" s="1069"/>
      <c r="H2" s="1069"/>
      <c r="I2" s="1069"/>
      <c r="J2" s="1069"/>
      <c r="K2" s="1069"/>
      <c r="L2" s="1069"/>
      <c r="M2" s="1069"/>
      <c r="N2" s="1069"/>
      <c r="O2" s="55"/>
      <c r="P2" s="55"/>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c r="B4" s="1069"/>
      <c r="C4" s="1069"/>
      <c r="D4" s="1069"/>
      <c r="E4" s="1069"/>
      <c r="F4" s="1069"/>
      <c r="G4" s="1069"/>
      <c r="H4" s="1069"/>
      <c r="I4" s="1069"/>
      <c r="J4" s="1069"/>
      <c r="K4" s="1069"/>
      <c r="L4" s="1069"/>
      <c r="M4" s="1069"/>
      <c r="N4" s="1069"/>
    </row>
    <row r="5" spans="1:18" s="29" customFormat="1" ht="15.75">
      <c r="A5" s="374" t="s">
        <v>404</v>
      </c>
      <c r="B5" s="375"/>
      <c r="C5" s="375"/>
      <c r="D5" s="375"/>
      <c r="E5" s="375"/>
      <c r="F5" s="375"/>
      <c r="G5" s="375"/>
      <c r="H5" s="375"/>
      <c r="I5" s="375"/>
      <c r="J5" s="375"/>
      <c r="K5" s="375"/>
      <c r="L5" s="375"/>
      <c r="M5" s="375"/>
      <c r="N5" s="376" t="s">
        <v>405</v>
      </c>
    </row>
    <row r="6" spans="1:18" ht="26.25" customHeight="1" thickBot="1">
      <c r="A6" s="1131" t="s">
        <v>136</v>
      </c>
      <c r="B6" s="1119" t="s">
        <v>135</v>
      </c>
      <c r="C6" s="1211"/>
      <c r="D6" s="1211"/>
      <c r="E6" s="1211"/>
      <c r="F6" s="1211"/>
      <c r="G6" s="1211"/>
      <c r="H6" s="1211"/>
      <c r="I6" s="1211"/>
      <c r="J6" s="1211"/>
      <c r="K6" s="1211"/>
      <c r="L6" s="1211"/>
      <c r="M6" s="1211"/>
      <c r="N6" s="1133" t="s">
        <v>134</v>
      </c>
    </row>
    <row r="7" spans="1:18" ht="37.5" customHeight="1">
      <c r="A7" s="1132" t="s">
        <v>110</v>
      </c>
      <c r="B7" s="323">
        <v>-20</v>
      </c>
      <c r="C7" s="323" t="s">
        <v>127</v>
      </c>
      <c r="D7" s="323" t="s">
        <v>126</v>
      </c>
      <c r="E7" s="323" t="s">
        <v>125</v>
      </c>
      <c r="F7" s="323" t="s">
        <v>124</v>
      </c>
      <c r="G7" s="323" t="s">
        <v>123</v>
      </c>
      <c r="H7" s="323" t="s">
        <v>122</v>
      </c>
      <c r="I7" s="323" t="s">
        <v>121</v>
      </c>
      <c r="J7" s="323" t="s">
        <v>120</v>
      </c>
      <c r="K7" s="323" t="s">
        <v>132</v>
      </c>
      <c r="L7" s="332" t="s">
        <v>647</v>
      </c>
      <c r="M7" s="329" t="s">
        <v>115</v>
      </c>
      <c r="N7" s="1134"/>
    </row>
    <row r="8" spans="1:18" ht="27" customHeight="1" thickBot="1">
      <c r="A8" s="234" t="s">
        <v>106</v>
      </c>
      <c r="B8" s="75">
        <v>32</v>
      </c>
      <c r="C8" s="75">
        <v>249</v>
      </c>
      <c r="D8" s="75">
        <v>287</v>
      </c>
      <c r="E8" s="75">
        <v>183</v>
      </c>
      <c r="F8" s="75">
        <v>169</v>
      </c>
      <c r="G8" s="75">
        <v>107</v>
      </c>
      <c r="H8" s="75">
        <v>80</v>
      </c>
      <c r="I8" s="75">
        <v>63</v>
      </c>
      <c r="J8" s="75">
        <v>29</v>
      </c>
      <c r="K8" s="75">
        <v>18</v>
      </c>
      <c r="L8" s="75">
        <v>0</v>
      </c>
      <c r="M8" s="6">
        <v>1217</v>
      </c>
      <c r="N8" s="44" t="s">
        <v>1091</v>
      </c>
    </row>
    <row r="9" spans="1:18" ht="27" customHeight="1" thickBot="1">
      <c r="A9" s="235" t="s">
        <v>105</v>
      </c>
      <c r="B9" s="231">
        <v>2</v>
      </c>
      <c r="C9" s="231">
        <v>20</v>
      </c>
      <c r="D9" s="231">
        <v>32</v>
      </c>
      <c r="E9" s="231">
        <v>26</v>
      </c>
      <c r="F9" s="231">
        <v>21</v>
      </c>
      <c r="G9" s="231">
        <v>10</v>
      </c>
      <c r="H9" s="231">
        <v>6</v>
      </c>
      <c r="I9" s="231">
        <v>3</v>
      </c>
      <c r="J9" s="231">
        <v>0</v>
      </c>
      <c r="K9" s="231">
        <v>0</v>
      </c>
      <c r="L9" s="231">
        <v>17</v>
      </c>
      <c r="M9" s="6">
        <v>137</v>
      </c>
      <c r="N9" s="97" t="s">
        <v>422</v>
      </c>
    </row>
    <row r="10" spans="1:18" ht="27" customHeight="1" thickBot="1">
      <c r="A10" s="235" t="s">
        <v>104</v>
      </c>
      <c r="B10" s="231">
        <v>6</v>
      </c>
      <c r="C10" s="231">
        <v>39</v>
      </c>
      <c r="D10" s="231">
        <v>94</v>
      </c>
      <c r="E10" s="231">
        <v>114</v>
      </c>
      <c r="F10" s="231">
        <v>112</v>
      </c>
      <c r="G10" s="231">
        <v>86</v>
      </c>
      <c r="H10" s="231">
        <v>49</v>
      </c>
      <c r="I10" s="231">
        <v>26</v>
      </c>
      <c r="J10" s="231">
        <v>11</v>
      </c>
      <c r="K10" s="231">
        <v>3</v>
      </c>
      <c r="L10" s="231">
        <v>15</v>
      </c>
      <c r="M10" s="6">
        <v>555</v>
      </c>
      <c r="N10" s="97" t="s">
        <v>423</v>
      </c>
    </row>
    <row r="11" spans="1:18" ht="27" customHeight="1" thickBot="1">
      <c r="A11" s="67" t="s">
        <v>731</v>
      </c>
      <c r="B11" s="231">
        <v>1</v>
      </c>
      <c r="C11" s="231">
        <v>17</v>
      </c>
      <c r="D11" s="231">
        <v>22</v>
      </c>
      <c r="E11" s="231">
        <v>39</v>
      </c>
      <c r="F11" s="231">
        <v>30</v>
      </c>
      <c r="G11" s="231">
        <v>20</v>
      </c>
      <c r="H11" s="231">
        <v>13</v>
      </c>
      <c r="I11" s="231">
        <v>5</v>
      </c>
      <c r="J11" s="231">
        <v>0</v>
      </c>
      <c r="K11" s="231">
        <v>2</v>
      </c>
      <c r="L11" s="231">
        <v>1</v>
      </c>
      <c r="M11" s="6">
        <v>150</v>
      </c>
      <c r="N11" s="97" t="s">
        <v>424</v>
      </c>
    </row>
    <row r="12" spans="1:18" ht="27" customHeight="1" thickBot="1">
      <c r="A12" s="66" t="s">
        <v>732</v>
      </c>
      <c r="B12" s="231">
        <v>0</v>
      </c>
      <c r="C12" s="231">
        <v>0</v>
      </c>
      <c r="D12" s="231">
        <v>6</v>
      </c>
      <c r="E12" s="231">
        <v>4</v>
      </c>
      <c r="F12" s="231">
        <v>17</v>
      </c>
      <c r="G12" s="231">
        <v>9</v>
      </c>
      <c r="H12" s="231">
        <v>4</v>
      </c>
      <c r="I12" s="231">
        <v>1</v>
      </c>
      <c r="J12" s="231">
        <v>0</v>
      </c>
      <c r="K12" s="231">
        <v>1</v>
      </c>
      <c r="L12" s="231">
        <v>1</v>
      </c>
      <c r="M12" s="6">
        <v>43</v>
      </c>
      <c r="N12" s="44" t="s">
        <v>1092</v>
      </c>
    </row>
    <row r="13" spans="1:18" ht="27" customHeight="1" thickBot="1">
      <c r="A13" s="65" t="s">
        <v>1093</v>
      </c>
      <c r="B13" s="232">
        <v>0</v>
      </c>
      <c r="C13" s="232">
        <v>2</v>
      </c>
      <c r="D13" s="232">
        <v>3</v>
      </c>
      <c r="E13" s="232">
        <v>7</v>
      </c>
      <c r="F13" s="232">
        <v>12</v>
      </c>
      <c r="G13" s="232">
        <v>5</v>
      </c>
      <c r="H13" s="232">
        <v>4</v>
      </c>
      <c r="I13" s="232">
        <v>3</v>
      </c>
      <c r="J13" s="232">
        <v>2</v>
      </c>
      <c r="K13" s="232">
        <v>1</v>
      </c>
      <c r="L13" s="232">
        <v>0</v>
      </c>
      <c r="M13" s="6">
        <v>39</v>
      </c>
      <c r="N13" s="98" t="s">
        <v>425</v>
      </c>
    </row>
    <row r="14" spans="1:18" ht="33" customHeight="1">
      <c r="A14" s="90" t="s">
        <v>16</v>
      </c>
      <c r="B14" s="85">
        <f t="shared" ref="B14:M14" si="0">SUM(B8:B13)</f>
        <v>41</v>
      </c>
      <c r="C14" s="85">
        <f t="shared" si="0"/>
        <v>327</v>
      </c>
      <c r="D14" s="85">
        <f t="shared" si="0"/>
        <v>444</v>
      </c>
      <c r="E14" s="85">
        <f t="shared" si="0"/>
        <v>373</v>
      </c>
      <c r="F14" s="85">
        <f t="shared" si="0"/>
        <v>361</v>
      </c>
      <c r="G14" s="85">
        <f t="shared" si="0"/>
        <v>237</v>
      </c>
      <c r="H14" s="85">
        <f t="shared" si="0"/>
        <v>156</v>
      </c>
      <c r="I14" s="85">
        <f t="shared" si="0"/>
        <v>101</v>
      </c>
      <c r="J14" s="85">
        <f t="shared" si="0"/>
        <v>42</v>
      </c>
      <c r="K14" s="85">
        <f t="shared" si="0"/>
        <v>25</v>
      </c>
      <c r="L14" s="85">
        <f t="shared" si="0"/>
        <v>34</v>
      </c>
      <c r="M14" s="85">
        <f t="shared" si="0"/>
        <v>2141</v>
      </c>
      <c r="N14" s="91" t="s">
        <v>55</v>
      </c>
    </row>
  </sheetData>
  <mergeCells count="7">
    <mergeCell ref="A6:A7"/>
    <mergeCell ref="B6:M6"/>
    <mergeCell ref="N6:N7"/>
    <mergeCell ref="A1:N1"/>
    <mergeCell ref="A2:N2"/>
    <mergeCell ref="A3:N3"/>
    <mergeCell ref="A4:N4"/>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J28"/>
  <sheetViews>
    <sheetView rightToLeft="1" view="pageBreakPreview" zoomScaleNormal="100" zoomScaleSheetLayoutView="100" workbookViewId="0">
      <selection activeCell="H18" sqref="H18"/>
    </sheetView>
  </sheetViews>
  <sheetFormatPr defaultColWidth="9.140625" defaultRowHeight="12.75"/>
  <cols>
    <col min="1" max="1" width="20.5703125" style="1" customWidth="1"/>
    <col min="2" max="7" width="12.7109375" style="1" customWidth="1"/>
    <col min="8" max="8" width="9.7109375" style="1" customWidth="1"/>
    <col min="9" max="9" width="13.5703125" style="1" customWidth="1"/>
    <col min="10" max="10" width="22.42578125" style="1" customWidth="1"/>
    <col min="11" max="16384" width="9.140625" style="1"/>
  </cols>
  <sheetData>
    <row r="1" spans="1:10" ht="24" customHeight="1">
      <c r="A1" s="1129" t="s">
        <v>349</v>
      </c>
      <c r="B1" s="1129"/>
      <c r="C1" s="1129"/>
      <c r="D1" s="1129"/>
      <c r="E1" s="1129"/>
      <c r="F1" s="1129"/>
      <c r="G1" s="1129"/>
      <c r="H1" s="1129"/>
      <c r="I1" s="1129"/>
      <c r="J1" s="1129"/>
    </row>
    <row r="2" spans="1:10" ht="15.75" customHeight="1">
      <c r="A2" s="1100" t="s">
        <v>348</v>
      </c>
      <c r="B2" s="1100"/>
      <c r="C2" s="1100"/>
      <c r="D2" s="1100"/>
      <c r="E2" s="1100"/>
      <c r="F2" s="1100"/>
      <c r="G2" s="1100"/>
      <c r="H2" s="1100"/>
      <c r="I2" s="1100"/>
      <c r="J2" s="1100"/>
    </row>
    <row r="3" spans="1:10" ht="15.75" customHeight="1">
      <c r="A3" s="1100">
        <v>2021</v>
      </c>
      <c r="B3" s="1100"/>
      <c r="C3" s="1100"/>
      <c r="D3" s="1100"/>
      <c r="E3" s="1100"/>
      <c r="F3" s="1100"/>
      <c r="G3" s="1100"/>
      <c r="H3" s="1100"/>
      <c r="I3" s="1100"/>
      <c r="J3" s="1100"/>
    </row>
    <row r="4" spans="1:10" ht="15.75" customHeight="1">
      <c r="A4" s="373"/>
      <c r="B4" s="373"/>
      <c r="C4" s="373"/>
      <c r="D4" s="373"/>
      <c r="E4" s="373"/>
      <c r="F4" s="373"/>
      <c r="G4" s="373"/>
      <c r="H4" s="373"/>
      <c r="I4" s="373"/>
      <c r="J4" s="373"/>
    </row>
    <row r="5" spans="1:10" ht="16.5">
      <c r="A5" s="363" t="s">
        <v>465</v>
      </c>
      <c r="B5" s="364"/>
      <c r="C5" s="368"/>
      <c r="D5" s="368"/>
      <c r="E5" s="368"/>
      <c r="F5" s="368"/>
      <c r="G5" s="368"/>
      <c r="H5" s="369"/>
      <c r="I5" s="372"/>
      <c r="J5" s="370" t="s">
        <v>466</v>
      </c>
    </row>
    <row r="6" spans="1:10" s="29" customFormat="1" ht="30" customHeight="1" thickBot="1">
      <c r="A6" s="1044" t="s">
        <v>110</v>
      </c>
      <c r="B6" s="1174" t="s">
        <v>109</v>
      </c>
      <c r="C6" s="1174"/>
      <c r="D6" s="1174"/>
      <c r="E6" s="1174"/>
      <c r="F6" s="1174"/>
      <c r="G6" s="1174"/>
      <c r="H6" s="1174"/>
      <c r="I6" s="1125" t="s">
        <v>648</v>
      </c>
      <c r="J6" s="1127" t="s">
        <v>108</v>
      </c>
    </row>
    <row r="7" spans="1:10" ht="73.5" customHeight="1">
      <c r="A7" s="1124"/>
      <c r="B7" s="322" t="s">
        <v>700</v>
      </c>
      <c r="C7" s="322" t="s">
        <v>1071</v>
      </c>
      <c r="D7" s="535" t="s">
        <v>682</v>
      </c>
      <c r="E7" s="535" t="s">
        <v>1072</v>
      </c>
      <c r="F7" s="535" t="s">
        <v>1073</v>
      </c>
      <c r="G7" s="535" t="s">
        <v>1074</v>
      </c>
      <c r="H7" s="322" t="s">
        <v>107</v>
      </c>
      <c r="I7" s="1126"/>
      <c r="J7" s="1128"/>
    </row>
    <row r="8" spans="1:10" ht="34.5" customHeight="1" thickBot="1">
      <c r="A8" s="161" t="s">
        <v>106</v>
      </c>
      <c r="B8" s="238">
        <v>1136</v>
      </c>
      <c r="C8" s="136">
        <v>130</v>
      </c>
      <c r="D8" s="136">
        <v>36</v>
      </c>
      <c r="E8" s="136">
        <v>12</v>
      </c>
      <c r="F8" s="136">
        <v>8</v>
      </c>
      <c r="G8" s="136">
        <v>2</v>
      </c>
      <c r="H8" s="215">
        <v>1324</v>
      </c>
      <c r="I8" s="204">
        <f t="shared" ref="I8:I13" si="0">H8/$H$14%</f>
        <v>61.840261560018682</v>
      </c>
      <c r="J8" s="852" t="s">
        <v>690</v>
      </c>
    </row>
    <row r="9" spans="1:10" ht="34.5" customHeight="1" thickBot="1">
      <c r="A9" s="120" t="s">
        <v>105</v>
      </c>
      <c r="B9" s="236">
        <v>55</v>
      </c>
      <c r="C9" s="227">
        <v>6</v>
      </c>
      <c r="D9" s="227">
        <v>1</v>
      </c>
      <c r="E9" s="227">
        <v>3</v>
      </c>
      <c r="F9" s="227">
        <v>0</v>
      </c>
      <c r="G9" s="227">
        <v>0</v>
      </c>
      <c r="H9" s="215">
        <v>65</v>
      </c>
      <c r="I9" s="50">
        <f t="shared" si="0"/>
        <v>3.0359645025688931</v>
      </c>
      <c r="J9" s="598" t="s">
        <v>422</v>
      </c>
    </row>
    <row r="10" spans="1:10" ht="34.5" customHeight="1" thickBot="1">
      <c r="A10" s="119" t="s">
        <v>104</v>
      </c>
      <c r="B10" s="236">
        <v>19</v>
      </c>
      <c r="C10" s="227">
        <v>1</v>
      </c>
      <c r="D10" s="227">
        <v>483</v>
      </c>
      <c r="E10" s="227">
        <v>40</v>
      </c>
      <c r="F10" s="227">
        <v>22</v>
      </c>
      <c r="G10" s="227">
        <v>13</v>
      </c>
      <c r="H10" s="215">
        <v>578</v>
      </c>
      <c r="I10" s="49">
        <f t="shared" si="0"/>
        <v>26.996730499766464</v>
      </c>
      <c r="J10" s="599" t="s">
        <v>423</v>
      </c>
    </row>
    <row r="11" spans="1:10" ht="34.5" customHeight="1" thickBot="1">
      <c r="A11" s="67" t="s">
        <v>717</v>
      </c>
      <c r="B11" s="236">
        <v>4</v>
      </c>
      <c r="C11" s="227">
        <v>0</v>
      </c>
      <c r="D11" s="227">
        <v>11</v>
      </c>
      <c r="E11" s="227">
        <v>92</v>
      </c>
      <c r="F11" s="227">
        <v>1</v>
      </c>
      <c r="G11" s="227">
        <v>1</v>
      </c>
      <c r="H11" s="215">
        <v>109</v>
      </c>
      <c r="I11" s="50">
        <f t="shared" si="0"/>
        <v>5.0910789350770669</v>
      </c>
      <c r="J11" s="598" t="s">
        <v>424</v>
      </c>
    </row>
    <row r="12" spans="1:10" ht="34.5" customHeight="1" thickBot="1">
      <c r="A12" s="66" t="s">
        <v>103</v>
      </c>
      <c r="B12" s="236">
        <v>3</v>
      </c>
      <c r="C12" s="227">
        <v>0</v>
      </c>
      <c r="D12" s="227">
        <v>11</v>
      </c>
      <c r="E12" s="227">
        <v>3</v>
      </c>
      <c r="F12" s="227">
        <v>11</v>
      </c>
      <c r="G12" s="227">
        <v>2</v>
      </c>
      <c r="H12" s="215">
        <v>30</v>
      </c>
      <c r="I12" s="49">
        <f t="shared" si="0"/>
        <v>1.4012143858010275</v>
      </c>
      <c r="J12" s="599" t="s">
        <v>1012</v>
      </c>
    </row>
    <row r="13" spans="1:10" ht="34.5" customHeight="1" thickBot="1">
      <c r="A13" s="65" t="s">
        <v>718</v>
      </c>
      <c r="B13" s="237">
        <v>0</v>
      </c>
      <c r="C13" s="228">
        <v>0</v>
      </c>
      <c r="D13" s="228">
        <v>13</v>
      </c>
      <c r="E13" s="228">
        <v>0</v>
      </c>
      <c r="F13" s="228">
        <v>1</v>
      </c>
      <c r="G13" s="228">
        <v>21</v>
      </c>
      <c r="H13" s="215">
        <v>35</v>
      </c>
      <c r="I13" s="48">
        <f t="shared" si="0"/>
        <v>1.6347501167678655</v>
      </c>
      <c r="J13" s="600" t="s">
        <v>425</v>
      </c>
    </row>
    <row r="14" spans="1:10" ht="24.75" customHeight="1">
      <c r="A14" s="239" t="s">
        <v>16</v>
      </c>
      <c r="B14" s="240">
        <f>SUM(B8:B13)</f>
        <v>1217</v>
      </c>
      <c r="C14" s="240">
        <f>SUM(C8:C13)</f>
        <v>137</v>
      </c>
      <c r="D14" s="240">
        <f>SUM(D8:D13)</f>
        <v>555</v>
      </c>
      <c r="E14" s="240">
        <f t="shared" ref="E14:I14" si="1">SUM(E8:E13)</f>
        <v>150</v>
      </c>
      <c r="F14" s="240">
        <f t="shared" si="1"/>
        <v>43</v>
      </c>
      <c r="G14" s="240">
        <f t="shared" si="1"/>
        <v>39</v>
      </c>
      <c r="H14" s="240">
        <f t="shared" si="1"/>
        <v>2141</v>
      </c>
      <c r="I14" s="241">
        <f t="shared" si="1"/>
        <v>99.999999999999986</v>
      </c>
      <c r="J14" s="517" t="s">
        <v>55</v>
      </c>
    </row>
    <row r="15" spans="1:10" ht="24.75" customHeight="1">
      <c r="A15" s="516" t="s">
        <v>102</v>
      </c>
      <c r="B15" s="515">
        <f t="shared" ref="B15:G15" si="2">B14/$H$14%</f>
        <v>56.842596917328351</v>
      </c>
      <c r="C15" s="515">
        <f t="shared" si="2"/>
        <v>6.3988790284913595</v>
      </c>
      <c r="D15" s="515">
        <f t="shared" si="2"/>
        <v>25.92246613731901</v>
      </c>
      <c r="E15" s="515">
        <f t="shared" si="2"/>
        <v>7.0060719290051381</v>
      </c>
      <c r="F15" s="515">
        <f t="shared" si="2"/>
        <v>2.0084072863148061</v>
      </c>
      <c r="G15" s="515">
        <f t="shared" si="2"/>
        <v>1.8215787015413358</v>
      </c>
      <c r="H15" s="515">
        <f>H14/$H$14%</f>
        <v>100</v>
      </c>
      <c r="I15" s="1212" t="s">
        <v>101</v>
      </c>
      <c r="J15" s="1213"/>
    </row>
    <row r="20" spans="1:3" ht="13.5" thickBot="1"/>
    <row r="21" spans="1:3" ht="13.5" thickTop="1">
      <c r="A21" s="78" t="s">
        <v>245</v>
      </c>
      <c r="B21" s="77" t="s">
        <v>218</v>
      </c>
      <c r="C21" s="76" t="s">
        <v>217</v>
      </c>
    </row>
    <row r="22" spans="1:3" ht="25.5">
      <c r="A22" s="46" t="s">
        <v>100</v>
      </c>
      <c r="B22" s="318">
        <f>H8</f>
        <v>1324</v>
      </c>
      <c r="C22" s="491">
        <f>B14</f>
        <v>1217</v>
      </c>
    </row>
    <row r="23" spans="1:3" ht="25.5">
      <c r="A23" s="46" t="s">
        <v>347</v>
      </c>
      <c r="B23" s="320">
        <f t="shared" ref="B23:B27" si="3">H9</f>
        <v>65</v>
      </c>
      <c r="C23" s="319">
        <f>C14</f>
        <v>137</v>
      </c>
    </row>
    <row r="24" spans="1:3" ht="25.5">
      <c r="A24" s="46" t="s">
        <v>98</v>
      </c>
      <c r="B24" s="320">
        <f t="shared" si="3"/>
        <v>578</v>
      </c>
      <c r="C24" s="319">
        <f>D14</f>
        <v>555</v>
      </c>
    </row>
    <row r="25" spans="1:3" ht="25.5">
      <c r="A25" s="46" t="s">
        <v>727</v>
      </c>
      <c r="B25" s="320">
        <f t="shared" si="3"/>
        <v>109</v>
      </c>
      <c r="C25" s="319">
        <f>E14</f>
        <v>150</v>
      </c>
    </row>
    <row r="26" spans="1:3" ht="25.5">
      <c r="A26" s="46" t="s">
        <v>96</v>
      </c>
      <c r="B26" s="320">
        <f t="shared" si="3"/>
        <v>30</v>
      </c>
      <c r="C26" s="319">
        <f>F14</f>
        <v>43</v>
      </c>
    </row>
    <row r="27" spans="1:3" ht="26.25" thickBot="1">
      <c r="A27" s="45" t="s">
        <v>95</v>
      </c>
      <c r="B27" s="320">
        <f t="shared" si="3"/>
        <v>35</v>
      </c>
      <c r="C27" s="321">
        <f>G14</f>
        <v>39</v>
      </c>
    </row>
    <row r="28" spans="1:3" ht="13.5" thickTop="1">
      <c r="B28" s="1">
        <f>SUM(B22:B27)</f>
        <v>2141</v>
      </c>
      <c r="C28" s="1">
        <f>SUM(C22:C27)</f>
        <v>2141</v>
      </c>
    </row>
  </sheetData>
  <mergeCells count="8">
    <mergeCell ref="A1:J1"/>
    <mergeCell ref="A2:J2"/>
    <mergeCell ref="A3:J3"/>
    <mergeCell ref="I15:J15"/>
    <mergeCell ref="A6:A7"/>
    <mergeCell ref="B6:H6"/>
    <mergeCell ref="I6:I7"/>
    <mergeCell ref="J6:J7"/>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N36"/>
  <sheetViews>
    <sheetView rightToLeft="1" view="pageBreakPreview" topLeftCell="A7" zoomScaleNormal="100" zoomScaleSheetLayoutView="100" workbookViewId="0">
      <selection activeCell="Q11" sqref="Q11"/>
    </sheetView>
  </sheetViews>
  <sheetFormatPr defaultColWidth="9.140625" defaultRowHeight="12.75"/>
  <cols>
    <col min="1" max="16384" width="9.140625" style="1"/>
  </cols>
  <sheetData>
    <row r="1" ht="41.25" customHeight="1"/>
    <row r="36" spans="1:14" ht="15.75">
      <c r="A36" s="1070" t="s">
        <v>350</v>
      </c>
      <c r="B36" s="1070"/>
      <c r="C36" s="1070"/>
      <c r="D36" s="1070"/>
      <c r="E36" s="1070"/>
      <c r="F36" s="1070"/>
      <c r="G36" s="1070"/>
      <c r="H36" s="1070"/>
      <c r="I36" s="1070"/>
      <c r="J36" s="1070"/>
      <c r="K36" s="1070"/>
      <c r="L36" s="1070"/>
      <c r="M36" s="1070"/>
      <c r="N36" s="1070"/>
    </row>
  </sheetData>
  <mergeCells count="1">
    <mergeCell ref="A36:N36"/>
  </mergeCells>
  <printOptions horizontalCentered="1" verticalCentered="1"/>
  <pageMargins left="0" right="0" top="0" bottom="0" header="0" footer="0"/>
  <pageSetup paperSize="9" orientation="landscape"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R23"/>
  <sheetViews>
    <sheetView rightToLeft="1" view="pageBreakPreview" topLeftCell="A7" zoomScaleNormal="100" zoomScaleSheetLayoutView="100" workbookViewId="0">
      <selection activeCell="M23" sqref="M23"/>
    </sheetView>
  </sheetViews>
  <sheetFormatPr defaultColWidth="9.140625" defaultRowHeight="12.75"/>
  <cols>
    <col min="1" max="1" width="22.85546875" style="1" customWidth="1"/>
    <col min="2" max="2" width="9.140625" style="1" customWidth="1"/>
    <col min="3" max="3" width="6.85546875" style="1" customWidth="1"/>
    <col min="4" max="4" width="6.42578125" style="1" customWidth="1"/>
    <col min="5" max="5" width="6.85546875" style="1" customWidth="1"/>
    <col min="6" max="7" width="10.85546875" style="1" customWidth="1"/>
    <col min="8" max="8" width="7.42578125" style="1" customWidth="1"/>
    <col min="9" max="9" width="5.85546875" style="1" customWidth="1"/>
    <col min="10" max="10" width="6.7109375" style="1" customWidth="1"/>
    <col min="11" max="11" width="6" style="1" customWidth="1"/>
    <col min="12" max="12" width="10.85546875" style="1" customWidth="1"/>
    <col min="13" max="13" width="11.42578125" style="1" customWidth="1"/>
    <col min="14" max="14" width="21.28515625" style="1" customWidth="1"/>
    <col min="15" max="16384" width="9.140625" style="1"/>
  </cols>
  <sheetData>
    <row r="1" spans="1:18" s="2" customFormat="1" ht="21.75" customHeight="1">
      <c r="A1" s="1041" t="s">
        <v>521</v>
      </c>
      <c r="B1" s="1041"/>
      <c r="C1" s="1041"/>
      <c r="D1" s="1041"/>
      <c r="E1" s="1041"/>
      <c r="F1" s="1041"/>
      <c r="G1" s="1041"/>
      <c r="H1" s="1041"/>
      <c r="I1" s="1142"/>
      <c r="J1" s="1041"/>
      <c r="K1" s="1041"/>
      <c r="L1" s="1041"/>
      <c r="M1" s="1041"/>
      <c r="N1" s="1041"/>
    </row>
    <row r="2" spans="1:18" s="2" customFormat="1" ht="15.75">
      <c r="A2" s="1068" t="s">
        <v>522</v>
      </c>
      <c r="B2" s="1068"/>
      <c r="C2" s="1068"/>
      <c r="D2" s="1068"/>
      <c r="E2" s="1068"/>
      <c r="F2" s="1068"/>
      <c r="G2" s="1068"/>
      <c r="H2" s="1068"/>
      <c r="I2" s="1068"/>
      <c r="J2" s="1068"/>
      <c r="K2" s="1068"/>
      <c r="L2" s="1068"/>
      <c r="M2" s="1068"/>
      <c r="N2" s="1068"/>
    </row>
    <row r="3" spans="1:18" s="2" customFormat="1" ht="18" customHeight="1">
      <c r="A3" s="1069">
        <v>2021</v>
      </c>
      <c r="B3" s="1069"/>
      <c r="C3" s="1069"/>
      <c r="D3" s="1069"/>
      <c r="E3" s="1069"/>
      <c r="F3" s="1069"/>
      <c r="G3" s="1069"/>
      <c r="H3" s="1069"/>
      <c r="I3" s="1069"/>
      <c r="J3" s="1069"/>
      <c r="K3" s="1069"/>
      <c r="L3" s="1069"/>
      <c r="M3" s="1069"/>
      <c r="N3" s="1069"/>
      <c r="O3" s="54"/>
      <c r="P3" s="54"/>
      <c r="Q3" s="54"/>
      <c r="R3" s="54"/>
    </row>
    <row r="4" spans="1:18" s="2" customFormat="1" ht="15.75">
      <c r="A4" s="1069"/>
      <c r="B4" s="1069"/>
      <c r="C4" s="1069"/>
      <c r="D4" s="1069"/>
      <c r="E4" s="1069"/>
      <c r="F4" s="1069"/>
      <c r="G4" s="1069"/>
      <c r="H4" s="1069"/>
      <c r="I4" s="1069"/>
      <c r="J4" s="1069"/>
      <c r="K4" s="1069"/>
      <c r="L4" s="1069"/>
      <c r="M4" s="1069"/>
      <c r="N4" s="1069"/>
    </row>
    <row r="5" spans="1:18" ht="15.75">
      <c r="A5" s="374" t="s">
        <v>518</v>
      </c>
      <c r="B5" s="378"/>
      <c r="C5" s="378"/>
      <c r="D5" s="378"/>
      <c r="E5" s="378"/>
      <c r="F5" s="378"/>
      <c r="G5" s="378"/>
      <c r="H5" s="378"/>
      <c r="I5" s="378"/>
      <c r="J5" s="378"/>
      <c r="K5" s="378"/>
      <c r="L5" s="378"/>
      <c r="M5" s="378"/>
      <c r="N5" s="376" t="s">
        <v>519</v>
      </c>
    </row>
    <row r="6" spans="1:18" ht="26.25" customHeight="1" thickBot="1">
      <c r="A6" s="1131" t="s">
        <v>141</v>
      </c>
      <c r="B6" s="1119" t="s">
        <v>351</v>
      </c>
      <c r="C6" s="1119"/>
      <c r="D6" s="1119"/>
      <c r="E6" s="1119"/>
      <c r="F6" s="1119"/>
      <c r="G6" s="1119"/>
      <c r="H6" s="1119"/>
      <c r="I6" s="1119"/>
      <c r="J6" s="1119"/>
      <c r="K6" s="1119"/>
      <c r="L6" s="1119"/>
      <c r="M6" s="1119"/>
      <c r="N6" s="1138" t="s">
        <v>1075</v>
      </c>
    </row>
    <row r="7" spans="1:18" ht="26.25" customHeight="1" thickBot="1">
      <c r="A7" s="1149"/>
      <c r="B7" s="1214" t="s">
        <v>52</v>
      </c>
      <c r="C7" s="1214"/>
      <c r="D7" s="1214"/>
      <c r="E7" s="1214"/>
      <c r="F7" s="1214"/>
      <c r="G7" s="1214"/>
      <c r="H7" s="1214" t="s">
        <v>51</v>
      </c>
      <c r="I7" s="1214"/>
      <c r="J7" s="1214"/>
      <c r="K7" s="1214"/>
      <c r="L7" s="1214"/>
      <c r="M7" s="1214"/>
      <c r="N7" s="1151"/>
    </row>
    <row r="8" spans="1:18" ht="40.5" customHeight="1">
      <c r="A8" s="1132"/>
      <c r="B8" s="338" t="s">
        <v>596</v>
      </c>
      <c r="C8" s="568">
        <v>1</v>
      </c>
      <c r="D8" s="568">
        <v>2</v>
      </c>
      <c r="E8" s="568">
        <v>3</v>
      </c>
      <c r="F8" s="338" t="s">
        <v>601</v>
      </c>
      <c r="G8" s="325" t="s">
        <v>595</v>
      </c>
      <c r="H8" s="338" t="s">
        <v>596</v>
      </c>
      <c r="I8" s="568">
        <v>1</v>
      </c>
      <c r="J8" s="568">
        <v>2</v>
      </c>
      <c r="K8" s="568">
        <v>3</v>
      </c>
      <c r="L8" s="338" t="s">
        <v>601</v>
      </c>
      <c r="M8" s="537" t="s">
        <v>595</v>
      </c>
      <c r="N8" s="1139"/>
    </row>
    <row r="9" spans="1:18" ht="17.25" customHeight="1" thickBot="1">
      <c r="A9" s="810" t="s">
        <v>426</v>
      </c>
      <c r="B9" s="75">
        <v>0</v>
      </c>
      <c r="C9" s="75">
        <v>0</v>
      </c>
      <c r="D9" s="75">
        <v>0</v>
      </c>
      <c r="E9" s="75">
        <v>0</v>
      </c>
      <c r="F9" s="75">
        <v>0</v>
      </c>
      <c r="G9" s="6">
        <v>0</v>
      </c>
      <c r="H9" s="75">
        <v>3</v>
      </c>
      <c r="I9" s="75">
        <v>0</v>
      </c>
      <c r="J9" s="75">
        <v>0</v>
      </c>
      <c r="K9" s="75">
        <v>0</v>
      </c>
      <c r="L9" s="75">
        <v>0</v>
      </c>
      <c r="M9" s="6">
        <v>3</v>
      </c>
      <c r="N9" s="95" t="s">
        <v>426</v>
      </c>
    </row>
    <row r="10" spans="1:18" ht="17.25" customHeight="1" thickBot="1">
      <c r="A10" s="810" t="s">
        <v>127</v>
      </c>
      <c r="B10" s="231">
        <v>100</v>
      </c>
      <c r="C10" s="231">
        <v>0</v>
      </c>
      <c r="D10" s="231">
        <v>0</v>
      </c>
      <c r="E10" s="231">
        <v>0</v>
      </c>
      <c r="F10" s="231">
        <v>0</v>
      </c>
      <c r="G10" s="6">
        <v>100</v>
      </c>
      <c r="H10" s="231">
        <v>9</v>
      </c>
      <c r="I10" s="231">
        <v>0</v>
      </c>
      <c r="J10" s="231">
        <v>0</v>
      </c>
      <c r="K10" s="231">
        <v>0</v>
      </c>
      <c r="L10" s="231">
        <v>0</v>
      </c>
      <c r="M10" s="6">
        <v>9</v>
      </c>
      <c r="N10" s="95" t="s">
        <v>127</v>
      </c>
    </row>
    <row r="11" spans="1:18" ht="17.25" customHeight="1" thickBot="1">
      <c r="A11" s="810" t="s">
        <v>126</v>
      </c>
      <c r="B11" s="231">
        <v>314</v>
      </c>
      <c r="C11" s="231">
        <v>0</v>
      </c>
      <c r="D11" s="231">
        <v>0</v>
      </c>
      <c r="E11" s="231">
        <v>0</v>
      </c>
      <c r="F11" s="231">
        <v>0</v>
      </c>
      <c r="G11" s="6">
        <v>314</v>
      </c>
      <c r="H11" s="231">
        <v>78</v>
      </c>
      <c r="I11" s="231">
        <v>0</v>
      </c>
      <c r="J11" s="231">
        <v>0</v>
      </c>
      <c r="K11" s="231">
        <v>0</v>
      </c>
      <c r="L11" s="231">
        <v>0</v>
      </c>
      <c r="M11" s="6">
        <v>78</v>
      </c>
      <c r="N11" s="95" t="s">
        <v>126</v>
      </c>
    </row>
    <row r="12" spans="1:18" ht="17.25" customHeight="1" thickBot="1">
      <c r="A12" s="810" t="s">
        <v>125</v>
      </c>
      <c r="B12" s="231">
        <v>271</v>
      </c>
      <c r="C12" s="231">
        <v>0</v>
      </c>
      <c r="D12" s="231">
        <v>0</v>
      </c>
      <c r="E12" s="231">
        <v>0</v>
      </c>
      <c r="F12" s="231">
        <v>0</v>
      </c>
      <c r="G12" s="6">
        <v>271</v>
      </c>
      <c r="H12" s="231">
        <v>148</v>
      </c>
      <c r="I12" s="231">
        <v>1</v>
      </c>
      <c r="J12" s="231">
        <v>0</v>
      </c>
      <c r="K12" s="231">
        <v>0</v>
      </c>
      <c r="L12" s="231">
        <v>0</v>
      </c>
      <c r="M12" s="6">
        <v>149</v>
      </c>
      <c r="N12" s="95" t="s">
        <v>125</v>
      </c>
    </row>
    <row r="13" spans="1:18" ht="17.25" customHeight="1" thickBot="1">
      <c r="A13" s="810" t="s">
        <v>124</v>
      </c>
      <c r="B13" s="231">
        <v>186</v>
      </c>
      <c r="C13" s="231">
        <v>0</v>
      </c>
      <c r="D13" s="231">
        <v>1</v>
      </c>
      <c r="E13" s="231">
        <v>0</v>
      </c>
      <c r="F13" s="231">
        <v>0</v>
      </c>
      <c r="G13" s="6">
        <v>187</v>
      </c>
      <c r="H13" s="231">
        <v>182</v>
      </c>
      <c r="I13" s="231">
        <v>0</v>
      </c>
      <c r="J13" s="231">
        <v>0</v>
      </c>
      <c r="K13" s="231">
        <v>0</v>
      </c>
      <c r="L13" s="231">
        <v>0</v>
      </c>
      <c r="M13" s="6">
        <v>182</v>
      </c>
      <c r="N13" s="95" t="s">
        <v>124</v>
      </c>
    </row>
    <row r="14" spans="1:18" ht="17.25" customHeight="1" thickBot="1">
      <c r="A14" s="810" t="s">
        <v>123</v>
      </c>
      <c r="B14" s="231">
        <v>137</v>
      </c>
      <c r="C14" s="231">
        <v>0</v>
      </c>
      <c r="D14" s="231">
        <v>0</v>
      </c>
      <c r="E14" s="231">
        <v>0</v>
      </c>
      <c r="F14" s="231">
        <v>0</v>
      </c>
      <c r="G14" s="6">
        <v>137</v>
      </c>
      <c r="H14" s="231">
        <v>147</v>
      </c>
      <c r="I14" s="231">
        <v>0</v>
      </c>
      <c r="J14" s="231">
        <v>0</v>
      </c>
      <c r="K14" s="231">
        <v>0</v>
      </c>
      <c r="L14" s="231">
        <v>0</v>
      </c>
      <c r="M14" s="6">
        <v>147</v>
      </c>
      <c r="N14" s="95" t="s">
        <v>123</v>
      </c>
    </row>
    <row r="15" spans="1:18" ht="17.25" customHeight="1" thickBot="1">
      <c r="A15" s="810" t="s">
        <v>122</v>
      </c>
      <c r="B15" s="231">
        <v>94</v>
      </c>
      <c r="C15" s="231">
        <v>0</v>
      </c>
      <c r="D15" s="231">
        <v>1</v>
      </c>
      <c r="E15" s="231">
        <v>0</v>
      </c>
      <c r="F15" s="231">
        <v>0</v>
      </c>
      <c r="G15" s="6">
        <v>95</v>
      </c>
      <c r="H15" s="231">
        <v>102</v>
      </c>
      <c r="I15" s="231">
        <v>0</v>
      </c>
      <c r="J15" s="231">
        <v>0</v>
      </c>
      <c r="K15" s="231">
        <v>0</v>
      </c>
      <c r="L15" s="231">
        <v>0</v>
      </c>
      <c r="M15" s="6">
        <v>102</v>
      </c>
      <c r="N15" s="95" t="s">
        <v>122</v>
      </c>
    </row>
    <row r="16" spans="1:18" ht="17.25" customHeight="1" thickBot="1">
      <c r="A16" s="810" t="s">
        <v>121</v>
      </c>
      <c r="B16" s="231">
        <v>82</v>
      </c>
      <c r="C16" s="231">
        <v>0</v>
      </c>
      <c r="D16" s="231">
        <v>0</v>
      </c>
      <c r="E16" s="231">
        <v>0</v>
      </c>
      <c r="F16" s="231">
        <v>0</v>
      </c>
      <c r="G16" s="6">
        <v>82</v>
      </c>
      <c r="H16" s="231">
        <v>61</v>
      </c>
      <c r="I16" s="231">
        <v>0</v>
      </c>
      <c r="J16" s="231">
        <v>0</v>
      </c>
      <c r="K16" s="231">
        <v>0</v>
      </c>
      <c r="L16" s="231">
        <v>0</v>
      </c>
      <c r="M16" s="6">
        <v>61</v>
      </c>
      <c r="N16" s="95" t="s">
        <v>121</v>
      </c>
    </row>
    <row r="17" spans="1:14" ht="17.25" customHeight="1" thickBot="1">
      <c r="A17" s="810" t="s">
        <v>120</v>
      </c>
      <c r="B17" s="231">
        <v>65</v>
      </c>
      <c r="C17" s="231">
        <v>0</v>
      </c>
      <c r="D17" s="231">
        <v>0</v>
      </c>
      <c r="E17" s="231">
        <v>0</v>
      </c>
      <c r="F17" s="231">
        <v>0</v>
      </c>
      <c r="G17" s="6">
        <v>65</v>
      </c>
      <c r="H17" s="231">
        <v>43</v>
      </c>
      <c r="I17" s="231">
        <v>0</v>
      </c>
      <c r="J17" s="231">
        <v>0</v>
      </c>
      <c r="K17" s="231">
        <v>0</v>
      </c>
      <c r="L17" s="231">
        <v>0</v>
      </c>
      <c r="M17" s="6">
        <v>43</v>
      </c>
      <c r="N17" s="95" t="s">
        <v>120</v>
      </c>
    </row>
    <row r="18" spans="1:14" ht="17.25" customHeight="1" thickBot="1">
      <c r="A18" s="810" t="s">
        <v>119</v>
      </c>
      <c r="B18" s="231">
        <v>30</v>
      </c>
      <c r="C18" s="231">
        <v>0</v>
      </c>
      <c r="D18" s="231">
        <v>0</v>
      </c>
      <c r="E18" s="231">
        <v>0</v>
      </c>
      <c r="F18" s="231">
        <v>0</v>
      </c>
      <c r="G18" s="6">
        <v>30</v>
      </c>
      <c r="H18" s="231">
        <v>25</v>
      </c>
      <c r="I18" s="231">
        <v>0</v>
      </c>
      <c r="J18" s="231">
        <v>0</v>
      </c>
      <c r="K18" s="231">
        <v>0</v>
      </c>
      <c r="L18" s="231">
        <v>0</v>
      </c>
      <c r="M18" s="6">
        <v>25</v>
      </c>
      <c r="N18" s="95" t="s">
        <v>119</v>
      </c>
    </row>
    <row r="19" spans="1:14" ht="17.25" customHeight="1" thickBot="1">
      <c r="A19" s="810" t="s">
        <v>118</v>
      </c>
      <c r="B19" s="231">
        <v>21</v>
      </c>
      <c r="C19" s="231">
        <v>0</v>
      </c>
      <c r="D19" s="231">
        <v>0</v>
      </c>
      <c r="E19" s="231">
        <v>0</v>
      </c>
      <c r="F19" s="231">
        <v>0</v>
      </c>
      <c r="G19" s="6">
        <v>21</v>
      </c>
      <c r="H19" s="231">
        <v>7</v>
      </c>
      <c r="I19" s="231">
        <v>0</v>
      </c>
      <c r="J19" s="231">
        <v>0</v>
      </c>
      <c r="K19" s="231">
        <v>0</v>
      </c>
      <c r="L19" s="231">
        <v>0</v>
      </c>
      <c r="M19" s="6">
        <v>7</v>
      </c>
      <c r="N19" s="95" t="s">
        <v>118</v>
      </c>
    </row>
    <row r="20" spans="1:14" ht="17.25" customHeight="1" thickBot="1">
      <c r="A20" s="810" t="s">
        <v>117</v>
      </c>
      <c r="B20" s="231">
        <v>10</v>
      </c>
      <c r="C20" s="231">
        <v>0</v>
      </c>
      <c r="D20" s="231">
        <v>0</v>
      </c>
      <c r="E20" s="231">
        <v>0</v>
      </c>
      <c r="F20" s="231">
        <v>0</v>
      </c>
      <c r="G20" s="6">
        <v>10</v>
      </c>
      <c r="H20" s="231">
        <v>1</v>
      </c>
      <c r="I20" s="231">
        <v>0</v>
      </c>
      <c r="J20" s="231">
        <v>0</v>
      </c>
      <c r="K20" s="231">
        <v>0</v>
      </c>
      <c r="L20" s="231">
        <v>0</v>
      </c>
      <c r="M20" s="6">
        <v>1</v>
      </c>
      <c r="N20" s="95" t="s">
        <v>117</v>
      </c>
    </row>
    <row r="21" spans="1:14" ht="17.25" customHeight="1" thickBot="1">
      <c r="A21" s="810" t="s">
        <v>116</v>
      </c>
      <c r="B21" s="231">
        <v>12</v>
      </c>
      <c r="C21" s="231">
        <v>0</v>
      </c>
      <c r="D21" s="231">
        <v>0</v>
      </c>
      <c r="E21" s="231">
        <v>0</v>
      </c>
      <c r="F21" s="231">
        <v>0</v>
      </c>
      <c r="G21" s="6">
        <v>12</v>
      </c>
      <c r="H21" s="231">
        <v>1</v>
      </c>
      <c r="I21" s="231">
        <v>0</v>
      </c>
      <c r="J21" s="231">
        <v>0</v>
      </c>
      <c r="K21" s="231">
        <v>0</v>
      </c>
      <c r="L21" s="231">
        <v>0</v>
      </c>
      <c r="M21" s="6">
        <v>1</v>
      </c>
      <c r="N21" s="95" t="s">
        <v>116</v>
      </c>
    </row>
    <row r="22" spans="1:14" ht="17.25" customHeight="1" thickBot="1">
      <c r="A22" s="848" t="s">
        <v>14</v>
      </c>
      <c r="B22" s="232">
        <v>0</v>
      </c>
      <c r="C22" s="232">
        <v>0</v>
      </c>
      <c r="D22" s="232">
        <v>0</v>
      </c>
      <c r="E22" s="232">
        <v>0</v>
      </c>
      <c r="F22" s="232">
        <v>0</v>
      </c>
      <c r="G22" s="6">
        <v>0</v>
      </c>
      <c r="H22" s="232">
        <v>9</v>
      </c>
      <c r="I22" s="232">
        <v>0</v>
      </c>
      <c r="J22" s="232">
        <v>0</v>
      </c>
      <c r="K22" s="232">
        <v>0</v>
      </c>
      <c r="L22" s="232">
        <v>0</v>
      </c>
      <c r="M22" s="6">
        <v>9</v>
      </c>
      <c r="N22" s="850" t="s">
        <v>15</v>
      </c>
    </row>
    <row r="23" spans="1:14" ht="24.75" customHeight="1">
      <c r="A23" s="90" t="s">
        <v>16</v>
      </c>
      <c r="B23" s="353">
        <f t="shared" ref="B23:M23" si="0">SUM(B9:B22)</f>
        <v>1322</v>
      </c>
      <c r="C23" s="353">
        <f t="shared" si="0"/>
        <v>0</v>
      </c>
      <c r="D23" s="353">
        <f t="shared" si="0"/>
        <v>2</v>
      </c>
      <c r="E23" s="353">
        <f t="shared" si="0"/>
        <v>0</v>
      </c>
      <c r="F23" s="353">
        <f t="shared" si="0"/>
        <v>0</v>
      </c>
      <c r="G23" s="353">
        <f t="shared" si="0"/>
        <v>1324</v>
      </c>
      <c r="H23" s="353">
        <f>SUM(H9:H22)</f>
        <v>816</v>
      </c>
      <c r="I23" s="353">
        <f t="shared" si="0"/>
        <v>1</v>
      </c>
      <c r="J23" s="353">
        <f>SUM(J9:J22)</f>
        <v>0</v>
      </c>
      <c r="K23" s="353">
        <f t="shared" si="0"/>
        <v>0</v>
      </c>
      <c r="L23" s="353">
        <f t="shared" si="0"/>
        <v>0</v>
      </c>
      <c r="M23" s="353">
        <f t="shared" si="0"/>
        <v>817</v>
      </c>
      <c r="N23" s="91" t="s">
        <v>55</v>
      </c>
    </row>
  </sheetData>
  <mergeCells count="9">
    <mergeCell ref="B6:M6"/>
    <mergeCell ref="A1:N1"/>
    <mergeCell ref="A2:N2"/>
    <mergeCell ref="A3:N3"/>
    <mergeCell ref="A4:N4"/>
    <mergeCell ref="A6:A8"/>
    <mergeCell ref="N6:N8"/>
    <mergeCell ref="B7:G7"/>
    <mergeCell ref="H7:M7"/>
  </mergeCells>
  <printOptions horizontalCentered="1" verticalCentered="1"/>
  <pageMargins left="0" right="0" top="0" bottom="0" header="0" footer="0"/>
  <pageSetup paperSize="9" scale="95" orientation="landscape" r:id="rId1"/>
  <headerFooter alignWithMargins="0"/>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L18"/>
  <sheetViews>
    <sheetView rightToLeft="1" view="pageBreakPreview" topLeftCell="A7" zoomScaleNormal="75" zoomScaleSheetLayoutView="100" workbookViewId="0">
      <selection activeCell="J21" sqref="J21"/>
    </sheetView>
  </sheetViews>
  <sheetFormatPr defaultColWidth="9.140625" defaultRowHeight="12.75"/>
  <cols>
    <col min="1" max="1" width="18.85546875" style="1" customWidth="1"/>
    <col min="2" max="4" width="10.42578125" style="1" customWidth="1"/>
    <col min="5" max="5" width="11" style="1" customWidth="1"/>
    <col min="6" max="10" width="10.42578125" style="1" customWidth="1"/>
    <col min="11" max="11" width="11.42578125" style="1" customWidth="1"/>
    <col min="12" max="12" width="23.7109375" style="1" customWidth="1"/>
    <col min="13" max="16384" width="9.140625" style="1"/>
  </cols>
  <sheetData>
    <row r="1" spans="1:12" s="2" customFormat="1" ht="24" customHeight="1">
      <c r="A1" s="1041" t="s">
        <v>353</v>
      </c>
      <c r="B1" s="1041"/>
      <c r="C1" s="1041"/>
      <c r="D1" s="1041"/>
      <c r="E1" s="1041"/>
      <c r="F1" s="1041"/>
      <c r="G1" s="1041"/>
      <c r="H1" s="1041"/>
      <c r="I1" s="1041"/>
      <c r="J1" s="1041"/>
      <c r="K1" s="1041"/>
      <c r="L1" s="1041"/>
    </row>
    <row r="2" spans="1:12" s="3" customFormat="1" ht="18">
      <c r="A2" s="1068" t="s">
        <v>352</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t="s">
        <v>52</v>
      </c>
      <c r="B4" s="1069"/>
      <c r="C4" s="1069"/>
      <c r="D4" s="1069"/>
      <c r="E4" s="1069"/>
      <c r="F4" s="1069"/>
      <c r="G4" s="1069"/>
      <c r="H4" s="1069"/>
      <c r="I4" s="1069"/>
      <c r="J4" s="1069"/>
      <c r="K4" s="1069"/>
      <c r="L4" s="1069"/>
    </row>
    <row r="5" spans="1:12" s="2" customFormat="1" ht="15.75">
      <c r="A5" s="362"/>
      <c r="B5" s="362"/>
      <c r="C5" s="362"/>
      <c r="D5" s="362"/>
      <c r="E5" s="362"/>
      <c r="F5" s="362"/>
      <c r="G5" s="362"/>
      <c r="H5" s="362"/>
      <c r="I5" s="362"/>
      <c r="J5" s="362"/>
      <c r="K5" s="362"/>
      <c r="L5" s="362"/>
    </row>
    <row r="6" spans="1:12" ht="15.75">
      <c r="A6" s="374" t="s">
        <v>510</v>
      </c>
      <c r="B6" s="378"/>
      <c r="C6" s="378"/>
      <c r="D6" s="378"/>
      <c r="E6" s="378"/>
      <c r="F6" s="378"/>
      <c r="G6" s="378"/>
      <c r="H6" s="378"/>
      <c r="I6" s="378"/>
      <c r="J6" s="378"/>
      <c r="K6" s="378"/>
      <c r="L6" s="376" t="s">
        <v>511</v>
      </c>
    </row>
    <row r="7" spans="1:12" ht="30.75" customHeight="1" thickBot="1">
      <c r="A7" s="1131" t="s">
        <v>203</v>
      </c>
      <c r="B7" s="1145" t="s">
        <v>202</v>
      </c>
      <c r="C7" s="1145"/>
      <c r="D7" s="1145"/>
      <c r="E7" s="1145"/>
      <c r="F7" s="1145"/>
      <c r="G7" s="1145"/>
      <c r="H7" s="1145"/>
      <c r="I7" s="1145"/>
      <c r="J7" s="1145"/>
      <c r="K7" s="1146" t="s">
        <v>607</v>
      </c>
      <c r="L7" s="1138" t="s">
        <v>201</v>
      </c>
    </row>
    <row r="8" spans="1:12" ht="60.75" customHeight="1">
      <c r="A8" s="1140"/>
      <c r="B8" s="160" t="s">
        <v>615</v>
      </c>
      <c r="C8" s="160" t="s">
        <v>649</v>
      </c>
      <c r="D8" s="160" t="s">
        <v>729</v>
      </c>
      <c r="E8" s="160" t="s">
        <v>613</v>
      </c>
      <c r="F8" s="160" t="s">
        <v>612</v>
      </c>
      <c r="G8" s="160" t="s">
        <v>611</v>
      </c>
      <c r="H8" s="160" t="s">
        <v>610</v>
      </c>
      <c r="I8" s="160" t="s">
        <v>616</v>
      </c>
      <c r="J8" s="329" t="s">
        <v>609</v>
      </c>
      <c r="K8" s="1147"/>
      <c r="L8" s="1141"/>
    </row>
    <row r="9" spans="1:12" ht="24" customHeight="1" thickBot="1">
      <c r="A9" s="799" t="s">
        <v>200</v>
      </c>
      <c r="B9" s="109">
        <v>2</v>
      </c>
      <c r="C9" s="75">
        <v>0</v>
      </c>
      <c r="D9" s="75">
        <v>3</v>
      </c>
      <c r="E9" s="75">
        <v>1</v>
      </c>
      <c r="F9" s="75">
        <v>2</v>
      </c>
      <c r="G9" s="75">
        <v>0</v>
      </c>
      <c r="H9" s="75">
        <v>0</v>
      </c>
      <c r="I9" s="75">
        <v>1</v>
      </c>
      <c r="J9" s="110">
        <v>9</v>
      </c>
      <c r="K9" s="7">
        <f t="shared" ref="K9:K16" si="0">J9/$J$17%</f>
        <v>0.6797583081570997</v>
      </c>
      <c r="L9" s="61" t="s">
        <v>199</v>
      </c>
    </row>
    <row r="10" spans="1:12" ht="24" customHeight="1" thickBot="1">
      <c r="A10" s="796" t="s">
        <v>198</v>
      </c>
      <c r="B10" s="242">
        <v>0</v>
      </c>
      <c r="C10" s="231">
        <v>3</v>
      </c>
      <c r="D10" s="231">
        <v>1</v>
      </c>
      <c r="E10" s="231">
        <v>3</v>
      </c>
      <c r="F10" s="231">
        <v>3</v>
      </c>
      <c r="G10" s="231">
        <v>0</v>
      </c>
      <c r="H10" s="231">
        <v>1</v>
      </c>
      <c r="I10" s="231">
        <v>1</v>
      </c>
      <c r="J10" s="110">
        <v>12</v>
      </c>
      <c r="K10" s="8">
        <f t="shared" si="0"/>
        <v>0.90634441087613293</v>
      </c>
      <c r="L10" s="60" t="s">
        <v>197</v>
      </c>
    </row>
    <row r="11" spans="1:12" ht="24" customHeight="1" thickBot="1">
      <c r="A11" s="797" t="s">
        <v>728</v>
      </c>
      <c r="B11" s="242">
        <v>2</v>
      </c>
      <c r="C11" s="231">
        <v>0</v>
      </c>
      <c r="D11" s="231">
        <v>11</v>
      </c>
      <c r="E11" s="231">
        <v>20</v>
      </c>
      <c r="F11" s="231">
        <v>45</v>
      </c>
      <c r="G11" s="231">
        <v>0</v>
      </c>
      <c r="H11" s="231">
        <v>13</v>
      </c>
      <c r="I11" s="231">
        <v>14</v>
      </c>
      <c r="J11" s="110">
        <v>105</v>
      </c>
      <c r="K11" s="9">
        <f t="shared" si="0"/>
        <v>7.9305135951661629</v>
      </c>
      <c r="L11" s="59" t="s">
        <v>195</v>
      </c>
    </row>
    <row r="12" spans="1:12" ht="24" customHeight="1" thickBot="1">
      <c r="A12" s="796" t="s">
        <v>194</v>
      </c>
      <c r="B12" s="242">
        <v>0</v>
      </c>
      <c r="C12" s="231">
        <v>4</v>
      </c>
      <c r="D12" s="231">
        <v>10</v>
      </c>
      <c r="E12" s="231">
        <v>25</v>
      </c>
      <c r="F12" s="231">
        <v>80</v>
      </c>
      <c r="G12" s="231">
        <v>0</v>
      </c>
      <c r="H12" s="231">
        <v>32</v>
      </c>
      <c r="I12" s="231">
        <v>11</v>
      </c>
      <c r="J12" s="110">
        <v>162</v>
      </c>
      <c r="K12" s="8">
        <f t="shared" si="0"/>
        <v>12.235649546827794</v>
      </c>
      <c r="L12" s="60" t="s">
        <v>193</v>
      </c>
    </row>
    <row r="13" spans="1:12" ht="24" customHeight="1" thickBot="1">
      <c r="A13" s="797" t="s">
        <v>192</v>
      </c>
      <c r="B13" s="242">
        <v>0</v>
      </c>
      <c r="C13" s="231">
        <v>6</v>
      </c>
      <c r="D13" s="231">
        <v>14</v>
      </c>
      <c r="E13" s="231">
        <v>49</v>
      </c>
      <c r="F13" s="231">
        <v>298</v>
      </c>
      <c r="G13" s="231">
        <v>7</v>
      </c>
      <c r="H13" s="231">
        <v>111</v>
      </c>
      <c r="I13" s="231">
        <v>25</v>
      </c>
      <c r="J13" s="110">
        <v>510</v>
      </c>
      <c r="K13" s="9">
        <f t="shared" si="0"/>
        <v>38.51963746223565</v>
      </c>
      <c r="L13" s="59" t="s">
        <v>191</v>
      </c>
    </row>
    <row r="14" spans="1:12" ht="24" customHeight="1" thickBot="1">
      <c r="A14" s="796" t="s">
        <v>549</v>
      </c>
      <c r="B14" s="242">
        <v>0</v>
      </c>
      <c r="C14" s="231">
        <v>0</v>
      </c>
      <c r="D14" s="231">
        <v>0</v>
      </c>
      <c r="E14" s="231">
        <v>3</v>
      </c>
      <c r="F14" s="231">
        <v>18</v>
      </c>
      <c r="G14" s="231">
        <v>2</v>
      </c>
      <c r="H14" s="231">
        <v>12</v>
      </c>
      <c r="I14" s="231">
        <v>3</v>
      </c>
      <c r="J14" s="110">
        <v>38</v>
      </c>
      <c r="K14" s="8">
        <f t="shared" si="0"/>
        <v>2.8700906344410875</v>
      </c>
      <c r="L14" s="387" t="s">
        <v>550</v>
      </c>
    </row>
    <row r="15" spans="1:12" ht="24" customHeight="1" thickBot="1">
      <c r="A15" s="797" t="s">
        <v>190</v>
      </c>
      <c r="B15" s="242">
        <v>1</v>
      </c>
      <c r="C15" s="231">
        <v>1</v>
      </c>
      <c r="D15" s="231">
        <v>6</v>
      </c>
      <c r="E15" s="231">
        <v>17</v>
      </c>
      <c r="F15" s="231">
        <v>201</v>
      </c>
      <c r="G15" s="231">
        <v>4</v>
      </c>
      <c r="H15" s="231">
        <v>152</v>
      </c>
      <c r="I15" s="231">
        <v>18</v>
      </c>
      <c r="J15" s="110">
        <v>400</v>
      </c>
      <c r="K15" s="9">
        <f t="shared" si="0"/>
        <v>30.211480362537763</v>
      </c>
      <c r="L15" s="59" t="s">
        <v>189</v>
      </c>
    </row>
    <row r="16" spans="1:12" ht="24" customHeight="1" thickBot="1">
      <c r="A16" s="798" t="s">
        <v>14</v>
      </c>
      <c r="B16" s="243">
        <v>0</v>
      </c>
      <c r="C16" s="232">
        <v>0</v>
      </c>
      <c r="D16" s="232">
        <v>0</v>
      </c>
      <c r="E16" s="232">
        <v>1</v>
      </c>
      <c r="F16" s="232">
        <v>3</v>
      </c>
      <c r="G16" s="232">
        <v>0</v>
      </c>
      <c r="H16" s="232">
        <v>2</v>
      </c>
      <c r="I16" s="232">
        <v>82</v>
      </c>
      <c r="J16" s="110">
        <v>88</v>
      </c>
      <c r="K16" s="57">
        <f t="shared" si="0"/>
        <v>6.6465256797583079</v>
      </c>
      <c r="L16" s="58" t="s">
        <v>188</v>
      </c>
    </row>
    <row r="17" spans="1:12" ht="27" customHeight="1">
      <c r="A17" s="254" t="s">
        <v>187</v>
      </c>
      <c r="B17" s="240">
        <f t="shared" ref="B17:K17" si="1">SUM(B7:B16)</f>
        <v>5</v>
      </c>
      <c r="C17" s="240">
        <f t="shared" si="1"/>
        <v>14</v>
      </c>
      <c r="D17" s="240">
        <f t="shared" si="1"/>
        <v>45</v>
      </c>
      <c r="E17" s="240">
        <f t="shared" si="1"/>
        <v>119</v>
      </c>
      <c r="F17" s="240">
        <f t="shared" si="1"/>
        <v>650</v>
      </c>
      <c r="G17" s="240">
        <f t="shared" si="1"/>
        <v>13</v>
      </c>
      <c r="H17" s="240">
        <f t="shared" si="1"/>
        <v>323</v>
      </c>
      <c r="I17" s="240">
        <f t="shared" si="1"/>
        <v>155</v>
      </c>
      <c r="J17" s="240">
        <f t="shared" si="1"/>
        <v>1324</v>
      </c>
      <c r="K17" s="241">
        <f t="shared" si="1"/>
        <v>100.00000000000001</v>
      </c>
      <c r="L17" s="255" t="s">
        <v>17</v>
      </c>
    </row>
    <row r="18" spans="1:12" ht="27" customHeight="1">
      <c r="A18" s="92" t="s">
        <v>186</v>
      </c>
      <c r="B18" s="515">
        <f>B17/$J$17%</f>
        <v>0.37764350453172207</v>
      </c>
      <c r="C18" s="515">
        <f t="shared" ref="C18:I18" si="2">C17/$J$17%</f>
        <v>1.0574018126888218</v>
      </c>
      <c r="D18" s="515">
        <f t="shared" si="2"/>
        <v>3.3987915407854983</v>
      </c>
      <c r="E18" s="515">
        <f t="shared" si="2"/>
        <v>8.9879154078549846</v>
      </c>
      <c r="F18" s="515">
        <f t="shared" si="2"/>
        <v>49.09365558912387</v>
      </c>
      <c r="G18" s="515">
        <f t="shared" si="2"/>
        <v>0.98187311178247727</v>
      </c>
      <c r="H18" s="515">
        <f t="shared" si="2"/>
        <v>24.395770392749245</v>
      </c>
      <c r="I18" s="515">
        <f t="shared" si="2"/>
        <v>11.706948640483384</v>
      </c>
      <c r="J18" s="515">
        <f>SUM(B18:I18)</f>
        <v>100</v>
      </c>
      <c r="K18" s="1215" t="s">
        <v>185</v>
      </c>
      <c r="L18" s="1216"/>
    </row>
  </sheetData>
  <mergeCells count="9">
    <mergeCell ref="K18:L1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L18"/>
  <sheetViews>
    <sheetView rightToLeft="1" view="pageBreakPreview" topLeftCell="A2" zoomScaleNormal="75" zoomScaleSheetLayoutView="100" workbookViewId="0">
      <selection activeCell="J18" sqref="J18"/>
    </sheetView>
  </sheetViews>
  <sheetFormatPr defaultColWidth="9.140625" defaultRowHeight="12.75"/>
  <cols>
    <col min="1" max="1" width="18.85546875" style="1" customWidth="1"/>
    <col min="2" max="4" width="10.42578125" style="1" customWidth="1"/>
    <col min="5" max="5" width="11" style="1" customWidth="1"/>
    <col min="6" max="10" width="10.42578125" style="1" customWidth="1"/>
    <col min="11" max="11" width="11.42578125" style="1" customWidth="1"/>
    <col min="12" max="12" width="23.7109375" style="1" customWidth="1"/>
    <col min="13" max="16384" width="9.140625" style="1"/>
  </cols>
  <sheetData>
    <row r="1" spans="1:12" s="2" customFormat="1" ht="24" customHeight="1">
      <c r="A1" s="1041" t="s">
        <v>353</v>
      </c>
      <c r="B1" s="1041"/>
      <c r="C1" s="1041"/>
      <c r="D1" s="1041"/>
      <c r="E1" s="1041"/>
      <c r="F1" s="1041"/>
      <c r="G1" s="1041"/>
      <c r="H1" s="1041"/>
      <c r="I1" s="1041"/>
      <c r="J1" s="1041"/>
      <c r="K1" s="1041"/>
      <c r="L1" s="1041"/>
    </row>
    <row r="2" spans="1:12" s="3" customFormat="1" ht="18">
      <c r="A2" s="1068" t="s">
        <v>352</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t="s">
        <v>51</v>
      </c>
      <c r="B4" s="1069"/>
      <c r="C4" s="1069"/>
      <c r="D4" s="1069"/>
      <c r="E4" s="1069"/>
      <c r="F4" s="1069"/>
      <c r="G4" s="1069"/>
      <c r="H4" s="1069"/>
      <c r="I4" s="1069"/>
      <c r="J4" s="1069"/>
      <c r="K4" s="1069"/>
      <c r="L4" s="1069"/>
    </row>
    <row r="5" spans="1:12" s="2" customFormat="1" ht="15.75">
      <c r="A5" s="362"/>
      <c r="B5" s="362"/>
      <c r="C5" s="362"/>
      <c r="D5" s="362"/>
      <c r="E5" s="362"/>
      <c r="F5" s="362"/>
      <c r="G5" s="362"/>
      <c r="H5" s="362"/>
      <c r="I5" s="362"/>
      <c r="J5" s="362"/>
      <c r="K5" s="362"/>
      <c r="L5" s="362"/>
    </row>
    <row r="6" spans="1:12" ht="15.75">
      <c r="A6" s="374" t="s">
        <v>514</v>
      </c>
      <c r="B6" s="378"/>
      <c r="C6" s="378"/>
      <c r="D6" s="378"/>
      <c r="E6" s="378"/>
      <c r="F6" s="378"/>
      <c r="G6" s="378"/>
      <c r="H6" s="378"/>
      <c r="I6" s="378"/>
      <c r="J6" s="378"/>
      <c r="K6" s="378"/>
      <c r="L6" s="376" t="s">
        <v>515</v>
      </c>
    </row>
    <row r="7" spans="1:12" ht="30.75" customHeight="1" thickBot="1">
      <c r="A7" s="1131" t="s">
        <v>203</v>
      </c>
      <c r="B7" s="1145" t="s">
        <v>202</v>
      </c>
      <c r="C7" s="1145"/>
      <c r="D7" s="1145"/>
      <c r="E7" s="1145"/>
      <c r="F7" s="1145"/>
      <c r="G7" s="1145"/>
      <c r="H7" s="1145"/>
      <c r="I7" s="1145"/>
      <c r="J7" s="1145"/>
      <c r="K7" s="1146" t="s">
        <v>607</v>
      </c>
      <c r="L7" s="1138" t="s">
        <v>201</v>
      </c>
    </row>
    <row r="8" spans="1:12" ht="60.75" customHeight="1">
      <c r="A8" s="1132"/>
      <c r="B8" s="160" t="s">
        <v>615</v>
      </c>
      <c r="C8" s="160" t="s">
        <v>649</v>
      </c>
      <c r="D8" s="328" t="s">
        <v>730</v>
      </c>
      <c r="E8" s="160" t="s">
        <v>613</v>
      </c>
      <c r="F8" s="160" t="s">
        <v>612</v>
      </c>
      <c r="G8" s="160" t="s">
        <v>611</v>
      </c>
      <c r="H8" s="160" t="s">
        <v>610</v>
      </c>
      <c r="I8" s="160" t="s">
        <v>616</v>
      </c>
      <c r="J8" s="329" t="s">
        <v>609</v>
      </c>
      <c r="K8" s="1171"/>
      <c r="L8" s="1139"/>
    </row>
    <row r="9" spans="1:12" ht="24" customHeight="1" thickBot="1">
      <c r="A9" s="795" t="s">
        <v>200</v>
      </c>
      <c r="B9" s="246">
        <v>0</v>
      </c>
      <c r="C9" s="247">
        <v>0</v>
      </c>
      <c r="D9" s="247">
        <v>0</v>
      </c>
      <c r="E9" s="247">
        <v>0</v>
      </c>
      <c r="F9" s="247">
        <v>0</v>
      </c>
      <c r="G9" s="247">
        <v>0</v>
      </c>
      <c r="H9" s="247">
        <v>0</v>
      </c>
      <c r="I9" s="247">
        <v>0</v>
      </c>
      <c r="J9" s="248">
        <v>0</v>
      </c>
      <c r="K9" s="249">
        <f t="shared" ref="K9:K16" si="0">J9/$J$17%</f>
        <v>0</v>
      </c>
      <c r="L9" s="162" t="s">
        <v>199</v>
      </c>
    </row>
    <row r="10" spans="1:12" ht="24" customHeight="1" thickBot="1">
      <c r="A10" s="796" t="s">
        <v>198</v>
      </c>
      <c r="B10" s="242">
        <v>0</v>
      </c>
      <c r="C10" s="231">
        <v>0</v>
      </c>
      <c r="D10" s="231">
        <v>1</v>
      </c>
      <c r="E10" s="231">
        <v>0</v>
      </c>
      <c r="F10" s="231">
        <v>4</v>
      </c>
      <c r="G10" s="231">
        <v>0</v>
      </c>
      <c r="H10" s="231">
        <v>0</v>
      </c>
      <c r="I10" s="231">
        <v>0</v>
      </c>
      <c r="J10" s="248">
        <v>5</v>
      </c>
      <c r="K10" s="244">
        <f t="shared" si="0"/>
        <v>0.61199510403916768</v>
      </c>
      <c r="L10" s="60" t="s">
        <v>197</v>
      </c>
    </row>
    <row r="11" spans="1:12" ht="24" customHeight="1" thickBot="1">
      <c r="A11" s="797" t="s">
        <v>728</v>
      </c>
      <c r="B11" s="242">
        <v>0</v>
      </c>
      <c r="C11" s="231">
        <v>0</v>
      </c>
      <c r="D11" s="231">
        <v>1</v>
      </c>
      <c r="E11" s="231">
        <v>1</v>
      </c>
      <c r="F11" s="231">
        <v>6</v>
      </c>
      <c r="G11" s="231">
        <v>0</v>
      </c>
      <c r="H11" s="231">
        <v>2</v>
      </c>
      <c r="I11" s="231">
        <v>2</v>
      </c>
      <c r="J11" s="248">
        <v>12</v>
      </c>
      <c r="K11" s="245">
        <f t="shared" si="0"/>
        <v>1.4687882496940026</v>
      </c>
      <c r="L11" s="59" t="s">
        <v>195</v>
      </c>
    </row>
    <row r="12" spans="1:12" ht="24" customHeight="1" thickBot="1">
      <c r="A12" s="796" t="s">
        <v>194</v>
      </c>
      <c r="B12" s="242">
        <v>0</v>
      </c>
      <c r="C12" s="231">
        <v>0</v>
      </c>
      <c r="D12" s="231">
        <v>4</v>
      </c>
      <c r="E12" s="231">
        <v>9</v>
      </c>
      <c r="F12" s="231">
        <v>15</v>
      </c>
      <c r="G12" s="231">
        <v>2</v>
      </c>
      <c r="H12" s="231">
        <v>5</v>
      </c>
      <c r="I12" s="231">
        <v>3</v>
      </c>
      <c r="J12" s="248">
        <v>38</v>
      </c>
      <c r="K12" s="244">
        <f t="shared" si="0"/>
        <v>4.6511627906976747</v>
      </c>
      <c r="L12" s="60" t="s">
        <v>193</v>
      </c>
    </row>
    <row r="13" spans="1:12" ht="24" customHeight="1" thickBot="1">
      <c r="A13" s="797" t="s">
        <v>192</v>
      </c>
      <c r="B13" s="242">
        <v>0</v>
      </c>
      <c r="C13" s="231">
        <v>2</v>
      </c>
      <c r="D13" s="231">
        <v>3</v>
      </c>
      <c r="E13" s="231">
        <v>10</v>
      </c>
      <c r="F13" s="231">
        <v>95</v>
      </c>
      <c r="G13" s="231">
        <v>2</v>
      </c>
      <c r="H13" s="231">
        <v>37</v>
      </c>
      <c r="I13" s="231">
        <v>18</v>
      </c>
      <c r="J13" s="248">
        <v>167</v>
      </c>
      <c r="K13" s="245">
        <f t="shared" si="0"/>
        <v>20.440636474908199</v>
      </c>
      <c r="L13" s="59" t="s">
        <v>191</v>
      </c>
    </row>
    <row r="14" spans="1:12" ht="24" customHeight="1" thickBot="1">
      <c r="A14" s="796" t="s">
        <v>549</v>
      </c>
      <c r="B14" s="242">
        <v>0</v>
      </c>
      <c r="C14" s="231">
        <v>0</v>
      </c>
      <c r="D14" s="231">
        <v>0</v>
      </c>
      <c r="E14" s="231">
        <v>0</v>
      </c>
      <c r="F14" s="231">
        <v>8</v>
      </c>
      <c r="G14" s="231">
        <v>2</v>
      </c>
      <c r="H14" s="231">
        <v>10</v>
      </c>
      <c r="I14" s="231">
        <v>1</v>
      </c>
      <c r="J14" s="248">
        <v>21</v>
      </c>
      <c r="K14" s="244">
        <f t="shared" si="0"/>
        <v>2.5703794369645041</v>
      </c>
      <c r="L14" s="387" t="s">
        <v>550</v>
      </c>
    </row>
    <row r="15" spans="1:12" ht="24" customHeight="1" thickBot="1">
      <c r="A15" s="797" t="s">
        <v>190</v>
      </c>
      <c r="B15" s="242">
        <v>0</v>
      </c>
      <c r="C15" s="231">
        <v>0</v>
      </c>
      <c r="D15" s="231">
        <v>1</v>
      </c>
      <c r="E15" s="231">
        <v>3</v>
      </c>
      <c r="F15" s="231">
        <v>76</v>
      </c>
      <c r="G15" s="231">
        <v>10</v>
      </c>
      <c r="H15" s="231">
        <v>185</v>
      </c>
      <c r="I15" s="231">
        <v>24</v>
      </c>
      <c r="J15" s="248">
        <v>299</v>
      </c>
      <c r="K15" s="245">
        <f t="shared" si="0"/>
        <v>36.597307221542231</v>
      </c>
      <c r="L15" s="59" t="s">
        <v>189</v>
      </c>
    </row>
    <row r="16" spans="1:12" ht="24" customHeight="1">
      <c r="A16" s="853" t="s">
        <v>14</v>
      </c>
      <c r="B16" s="250">
        <v>0</v>
      </c>
      <c r="C16" s="251">
        <v>0</v>
      </c>
      <c r="D16" s="251">
        <v>1</v>
      </c>
      <c r="E16" s="251">
        <v>3</v>
      </c>
      <c r="F16" s="251">
        <v>14</v>
      </c>
      <c r="G16" s="251">
        <v>2</v>
      </c>
      <c r="H16" s="251">
        <v>17</v>
      </c>
      <c r="I16" s="251">
        <v>238</v>
      </c>
      <c r="J16" s="443">
        <v>275</v>
      </c>
      <c r="K16" s="252">
        <f t="shared" si="0"/>
        <v>33.659730722154222</v>
      </c>
      <c r="L16" s="253" t="s">
        <v>188</v>
      </c>
    </row>
    <row r="17" spans="1:12" ht="27" customHeight="1">
      <c r="A17" s="254" t="s">
        <v>187</v>
      </c>
      <c r="B17" s="256">
        <f>SUBTOTAL(109,Table_Default__XLS_TAB_36_2[[#All],[ILLITERATE_CNT]])</f>
        <v>0</v>
      </c>
      <c r="C17" s="256">
        <f>SUBTOTAL(109,Table_Default__XLS_TAB_36_2[[#All],[READ_AND_WRITE_CNT]])</f>
        <v>2</v>
      </c>
      <c r="D17" s="256">
        <f>SUBTOTAL(109,Table_Default__XLS_TAB_36_2[[#All],[PRIMARY_CNT]])</f>
        <v>11</v>
      </c>
      <c r="E17" s="256">
        <f>SUBTOTAL(109,Table_Default__XLS_TAB_36_2[[#All],[PREPARATORY_CNT]])</f>
        <v>26</v>
      </c>
      <c r="F17" s="256">
        <f>SUBTOTAL(109,Table_Default__XLS_TAB_36_2[[#All],[SECONDARY_CNT]])</f>
        <v>218</v>
      </c>
      <c r="G17" s="256">
        <f>SUBTOTAL(109,Table_Default__XLS_TAB_36_2[[#All],[PRE_UNIVERSITY_CNT]])</f>
        <v>18</v>
      </c>
      <c r="H17" s="256">
        <f>SUBTOTAL(109,Table_Default__XLS_TAB_36_2[[#All],[UNIV_ABOVE_CNT]])</f>
        <v>256</v>
      </c>
      <c r="I17" s="256">
        <f>SUBTOTAL(109,Table_Default__XLS_TAB_36_2[[#All],[NOT_STATED_CNT]])</f>
        <v>286</v>
      </c>
      <c r="J17" s="256">
        <f>SUBTOTAL(109,Table_Default__XLS_TAB_36_2[[#All],[TOTAL]])</f>
        <v>817</v>
      </c>
      <c r="K17" s="241">
        <f t="shared" ref="K17" si="1">SUM(K7:K16)</f>
        <v>100</v>
      </c>
      <c r="L17" s="255" t="s">
        <v>17</v>
      </c>
    </row>
    <row r="18" spans="1:12" ht="27" customHeight="1">
      <c r="A18" s="92" t="s">
        <v>186</v>
      </c>
      <c r="B18" s="515">
        <f>B17/$J$17%</f>
        <v>0</v>
      </c>
      <c r="C18" s="515">
        <f t="shared" ref="C18:I18" si="2">C17/$J$17%</f>
        <v>0.24479804161566707</v>
      </c>
      <c r="D18" s="515">
        <f t="shared" si="2"/>
        <v>1.346389228886169</v>
      </c>
      <c r="E18" s="515">
        <f t="shared" si="2"/>
        <v>3.1823745410036719</v>
      </c>
      <c r="F18" s="515">
        <f t="shared" si="2"/>
        <v>26.682986536107713</v>
      </c>
      <c r="G18" s="515">
        <f t="shared" si="2"/>
        <v>2.2031823745410035</v>
      </c>
      <c r="H18" s="515">
        <f t="shared" si="2"/>
        <v>31.334149326805385</v>
      </c>
      <c r="I18" s="515">
        <f t="shared" si="2"/>
        <v>35.00611995104039</v>
      </c>
      <c r="J18" s="515">
        <f>SUM(B18:I18)</f>
        <v>100</v>
      </c>
      <c r="K18" s="1215" t="s">
        <v>185</v>
      </c>
      <c r="L18" s="1216"/>
    </row>
  </sheetData>
  <mergeCells count="9">
    <mergeCell ref="K18:L1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L36"/>
  <sheetViews>
    <sheetView rightToLeft="1" view="pageBreakPreview" topLeftCell="A4" zoomScaleNormal="75" zoomScaleSheetLayoutView="100" workbookViewId="0">
      <selection activeCell="K18" sqref="K18:L18"/>
    </sheetView>
  </sheetViews>
  <sheetFormatPr defaultColWidth="9.140625" defaultRowHeight="12.75"/>
  <cols>
    <col min="1" max="1" width="18.85546875" style="1" customWidth="1"/>
    <col min="2" max="4" width="10.42578125" style="1" customWidth="1"/>
    <col min="5" max="5" width="11" style="1" customWidth="1"/>
    <col min="6" max="10" width="10.42578125" style="1" customWidth="1"/>
    <col min="11" max="11" width="11.42578125" style="1" customWidth="1"/>
    <col min="12" max="12" width="23.7109375" style="1" customWidth="1"/>
    <col min="13" max="16384" width="9.140625" style="1"/>
  </cols>
  <sheetData>
    <row r="1" spans="1:12" s="2" customFormat="1" ht="24" customHeight="1">
      <c r="A1" s="1041" t="s">
        <v>353</v>
      </c>
      <c r="B1" s="1041"/>
      <c r="C1" s="1041"/>
      <c r="D1" s="1041"/>
      <c r="E1" s="1041"/>
      <c r="F1" s="1041"/>
      <c r="G1" s="1041"/>
      <c r="H1" s="1041"/>
      <c r="I1" s="1041"/>
      <c r="J1" s="1041"/>
      <c r="K1" s="1041"/>
      <c r="L1" s="1041"/>
    </row>
    <row r="2" spans="1:12" s="3" customFormat="1" ht="18">
      <c r="A2" s="1068" t="s">
        <v>352</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t="s">
        <v>1</v>
      </c>
      <c r="B4" s="1069"/>
      <c r="C4" s="1069"/>
      <c r="D4" s="1069"/>
      <c r="E4" s="1069"/>
      <c r="F4" s="1069"/>
      <c r="G4" s="1069"/>
      <c r="H4" s="1069"/>
      <c r="I4" s="1069"/>
      <c r="J4" s="1069"/>
      <c r="K4" s="1069"/>
      <c r="L4" s="1069"/>
    </row>
    <row r="5" spans="1:12" s="2" customFormat="1" ht="15.75">
      <c r="A5" s="362"/>
      <c r="B5" s="362"/>
      <c r="C5" s="362"/>
      <c r="D5" s="362"/>
      <c r="E5" s="362"/>
      <c r="F5" s="362"/>
      <c r="G5" s="362"/>
      <c r="H5" s="362"/>
      <c r="I5" s="362"/>
      <c r="J5" s="362"/>
      <c r="K5" s="362"/>
      <c r="L5" s="362"/>
    </row>
    <row r="6" spans="1:12" ht="15.75">
      <c r="A6" s="374" t="s">
        <v>512</v>
      </c>
      <c r="B6" s="378"/>
      <c r="C6" s="378"/>
      <c r="D6" s="378"/>
      <c r="E6" s="378"/>
      <c r="F6" s="378"/>
      <c r="G6" s="378"/>
      <c r="H6" s="378"/>
      <c r="I6" s="378"/>
      <c r="J6" s="378"/>
      <c r="K6" s="378"/>
      <c r="L6" s="376" t="s">
        <v>513</v>
      </c>
    </row>
    <row r="7" spans="1:12" ht="30.75" customHeight="1" thickBot="1">
      <c r="A7" s="1131" t="s">
        <v>203</v>
      </c>
      <c r="B7" s="1145" t="s">
        <v>202</v>
      </c>
      <c r="C7" s="1145"/>
      <c r="D7" s="1145"/>
      <c r="E7" s="1145"/>
      <c r="F7" s="1145"/>
      <c r="G7" s="1145"/>
      <c r="H7" s="1145"/>
      <c r="I7" s="1145"/>
      <c r="J7" s="1145"/>
      <c r="K7" s="1146" t="s">
        <v>607</v>
      </c>
      <c r="L7" s="1138" t="s">
        <v>201</v>
      </c>
    </row>
    <row r="8" spans="1:12" ht="60.75" customHeight="1">
      <c r="A8" s="1132"/>
      <c r="B8" s="160" t="s">
        <v>615</v>
      </c>
      <c r="C8" s="160" t="s">
        <v>649</v>
      </c>
      <c r="D8" s="328" t="s">
        <v>730</v>
      </c>
      <c r="E8" s="160" t="s">
        <v>613</v>
      </c>
      <c r="F8" s="160" t="s">
        <v>612</v>
      </c>
      <c r="G8" s="160" t="s">
        <v>611</v>
      </c>
      <c r="H8" s="160" t="s">
        <v>610</v>
      </c>
      <c r="I8" s="160" t="s">
        <v>616</v>
      </c>
      <c r="J8" s="329" t="s">
        <v>609</v>
      </c>
      <c r="K8" s="1171"/>
      <c r="L8" s="1139"/>
    </row>
    <row r="9" spans="1:12" ht="26.1" customHeight="1" thickBot="1">
      <c r="A9" s="795" t="s">
        <v>200</v>
      </c>
      <c r="B9" s="246">
        <v>2</v>
      </c>
      <c r="C9" s="247">
        <v>0</v>
      </c>
      <c r="D9" s="247">
        <v>3</v>
      </c>
      <c r="E9" s="247">
        <v>1</v>
      </c>
      <c r="F9" s="247">
        <v>2</v>
      </c>
      <c r="G9" s="247">
        <v>0</v>
      </c>
      <c r="H9" s="247">
        <v>0</v>
      </c>
      <c r="I9" s="247">
        <v>1</v>
      </c>
      <c r="J9" s="248">
        <v>9</v>
      </c>
      <c r="K9" s="249">
        <f>J9/$J$17%</f>
        <v>0.42036431574030825</v>
      </c>
      <c r="L9" s="162" t="s">
        <v>199</v>
      </c>
    </row>
    <row r="10" spans="1:12" ht="26.1" customHeight="1" thickBot="1">
      <c r="A10" s="796" t="s">
        <v>198</v>
      </c>
      <c r="B10" s="242">
        <v>0</v>
      </c>
      <c r="C10" s="231">
        <v>3</v>
      </c>
      <c r="D10" s="231">
        <v>2</v>
      </c>
      <c r="E10" s="231">
        <v>3</v>
      </c>
      <c r="F10" s="231">
        <v>7</v>
      </c>
      <c r="G10" s="231">
        <v>0</v>
      </c>
      <c r="H10" s="231">
        <v>1</v>
      </c>
      <c r="I10" s="231">
        <v>1</v>
      </c>
      <c r="J10" s="248">
        <v>17</v>
      </c>
      <c r="K10" s="244">
        <f t="shared" ref="K10:K15" si="0">J10/$J$17%</f>
        <v>0.79402148528724892</v>
      </c>
      <c r="L10" s="60" t="s">
        <v>197</v>
      </c>
    </row>
    <row r="11" spans="1:12" ht="26.1" customHeight="1" thickBot="1">
      <c r="A11" s="797" t="s">
        <v>728</v>
      </c>
      <c r="B11" s="242">
        <v>2</v>
      </c>
      <c r="C11" s="231">
        <v>0</v>
      </c>
      <c r="D11" s="231">
        <v>12</v>
      </c>
      <c r="E11" s="231">
        <v>21</v>
      </c>
      <c r="F11" s="231">
        <v>51</v>
      </c>
      <c r="G11" s="231">
        <v>0</v>
      </c>
      <c r="H11" s="231">
        <v>15</v>
      </c>
      <c r="I11" s="231">
        <v>16</v>
      </c>
      <c r="J11" s="248">
        <v>117</v>
      </c>
      <c r="K11" s="245">
        <f t="shared" si="0"/>
        <v>5.4647361046240075</v>
      </c>
      <c r="L11" s="59" t="s">
        <v>195</v>
      </c>
    </row>
    <row r="12" spans="1:12" ht="26.1" customHeight="1" thickBot="1">
      <c r="A12" s="796" t="s">
        <v>194</v>
      </c>
      <c r="B12" s="242">
        <v>0</v>
      </c>
      <c r="C12" s="231">
        <v>4</v>
      </c>
      <c r="D12" s="231">
        <v>14</v>
      </c>
      <c r="E12" s="231">
        <v>34</v>
      </c>
      <c r="F12" s="231">
        <v>95</v>
      </c>
      <c r="G12" s="231">
        <v>2</v>
      </c>
      <c r="H12" s="231">
        <v>37</v>
      </c>
      <c r="I12" s="231">
        <v>14</v>
      </c>
      <c r="J12" s="248">
        <v>200</v>
      </c>
      <c r="K12" s="244">
        <f t="shared" si="0"/>
        <v>9.3414292386735163</v>
      </c>
      <c r="L12" s="60" t="s">
        <v>193</v>
      </c>
    </row>
    <row r="13" spans="1:12" ht="26.1" customHeight="1" thickBot="1">
      <c r="A13" s="797" t="s">
        <v>192</v>
      </c>
      <c r="B13" s="242">
        <v>0</v>
      </c>
      <c r="C13" s="231">
        <v>8</v>
      </c>
      <c r="D13" s="231">
        <v>17</v>
      </c>
      <c r="E13" s="231">
        <v>59</v>
      </c>
      <c r="F13" s="231">
        <v>393</v>
      </c>
      <c r="G13" s="231">
        <v>9</v>
      </c>
      <c r="H13" s="231">
        <v>148</v>
      </c>
      <c r="I13" s="231">
        <v>43</v>
      </c>
      <c r="J13" s="248">
        <v>677</v>
      </c>
      <c r="K13" s="245">
        <f t="shared" si="0"/>
        <v>31.620737972909854</v>
      </c>
      <c r="L13" s="59" t="s">
        <v>191</v>
      </c>
    </row>
    <row r="14" spans="1:12" ht="26.1" customHeight="1" thickBot="1">
      <c r="A14" s="796" t="s">
        <v>549</v>
      </c>
      <c r="B14" s="242">
        <v>0</v>
      </c>
      <c r="C14" s="231">
        <v>0</v>
      </c>
      <c r="D14" s="231">
        <v>0</v>
      </c>
      <c r="E14" s="231">
        <v>3</v>
      </c>
      <c r="F14" s="231">
        <v>26</v>
      </c>
      <c r="G14" s="231">
        <v>4</v>
      </c>
      <c r="H14" s="231">
        <v>22</v>
      </c>
      <c r="I14" s="231">
        <v>4</v>
      </c>
      <c r="J14" s="248">
        <v>59</v>
      </c>
      <c r="K14" s="244">
        <f t="shared" si="0"/>
        <v>2.7557216254086874</v>
      </c>
      <c r="L14" s="387" t="s">
        <v>550</v>
      </c>
    </row>
    <row r="15" spans="1:12" ht="26.1" customHeight="1" thickBot="1">
      <c r="A15" s="797" t="s">
        <v>190</v>
      </c>
      <c r="B15" s="242">
        <v>1</v>
      </c>
      <c r="C15" s="231">
        <v>1</v>
      </c>
      <c r="D15" s="231">
        <v>7</v>
      </c>
      <c r="E15" s="231">
        <v>20</v>
      </c>
      <c r="F15" s="231">
        <v>277</v>
      </c>
      <c r="G15" s="231">
        <v>14</v>
      </c>
      <c r="H15" s="231">
        <v>337</v>
      </c>
      <c r="I15" s="231">
        <v>42</v>
      </c>
      <c r="J15" s="248">
        <v>699</v>
      </c>
      <c r="K15" s="245">
        <f t="shared" si="0"/>
        <v>32.648295189163939</v>
      </c>
      <c r="L15" s="59" t="s">
        <v>189</v>
      </c>
    </row>
    <row r="16" spans="1:12" ht="26.1" customHeight="1">
      <c r="A16" s="853" t="s">
        <v>14</v>
      </c>
      <c r="B16" s="250">
        <v>0</v>
      </c>
      <c r="C16" s="251">
        <v>0</v>
      </c>
      <c r="D16" s="251">
        <v>1</v>
      </c>
      <c r="E16" s="251">
        <v>4</v>
      </c>
      <c r="F16" s="251">
        <v>17</v>
      </c>
      <c r="G16" s="251">
        <v>2</v>
      </c>
      <c r="H16" s="251">
        <v>19</v>
      </c>
      <c r="I16" s="251">
        <v>320</v>
      </c>
      <c r="J16" s="443">
        <v>363</v>
      </c>
      <c r="K16" s="252">
        <f>J16/$J$17%</f>
        <v>16.954694068192435</v>
      </c>
      <c r="L16" s="253" t="s">
        <v>188</v>
      </c>
    </row>
    <row r="17" spans="1:12" ht="26.1" customHeight="1">
      <c r="A17" s="777" t="s">
        <v>187</v>
      </c>
      <c r="B17" s="240">
        <f>SUBTOTAL(109,Table_Default__XLS_TAB_36_3[[#All],[ILLITERATE_CNT]])</f>
        <v>5</v>
      </c>
      <c r="C17" s="240">
        <f>SUBTOTAL(109,Table_Default__XLS_TAB_36_3[[#All],[READ_AND_WRITE_CNT]])</f>
        <v>16</v>
      </c>
      <c r="D17" s="240">
        <f>SUBTOTAL(109,Table_Default__XLS_TAB_36_3[[#All],[PRIMARY_CNT]])</f>
        <v>56</v>
      </c>
      <c r="E17" s="240">
        <f>SUBTOTAL(109,Table_Default__XLS_TAB_36_3[[#All],[PREPARATORY_CNT]])</f>
        <v>145</v>
      </c>
      <c r="F17" s="240">
        <f>SUBTOTAL(109,Table_Default__XLS_TAB_36_3[[#All],[SECONDARY_CNT]])</f>
        <v>868</v>
      </c>
      <c r="G17" s="240">
        <f>SUBTOTAL(109,Table_Default__XLS_TAB_36_3[[#All],[PRE_UNIVERSITY_CNT]])</f>
        <v>31</v>
      </c>
      <c r="H17" s="240">
        <f>SUBTOTAL(109,Table_Default__XLS_TAB_36_3[[#All],[UNIV_ABOVE_CNT]])</f>
        <v>579</v>
      </c>
      <c r="I17" s="240">
        <f>SUBTOTAL(109,Table_Default__XLS_TAB_36_3[[#All],[NOT_STATED_CNT]])</f>
        <v>441</v>
      </c>
      <c r="J17" s="256">
        <f>SUBTOTAL(109,Table_Default__XLS_TAB_36_3[[#All],[TOTAL]])</f>
        <v>2141</v>
      </c>
      <c r="K17" s="257">
        <f>SUM(K7:K16)</f>
        <v>100</v>
      </c>
      <c r="L17" s="117" t="s">
        <v>17</v>
      </c>
    </row>
    <row r="18" spans="1:12" ht="26.1" customHeight="1">
      <c r="A18" s="92" t="s">
        <v>186</v>
      </c>
      <c r="B18" s="515">
        <f>B17/$J$17%</f>
        <v>0.23353573096683791</v>
      </c>
      <c r="C18" s="515">
        <f t="shared" ref="C18:I18" si="1">C17/$J$17%</f>
        <v>0.74731433909388134</v>
      </c>
      <c r="D18" s="515">
        <f t="shared" si="1"/>
        <v>2.6156001868285848</v>
      </c>
      <c r="E18" s="515">
        <f t="shared" si="1"/>
        <v>6.7725361980383001</v>
      </c>
      <c r="F18" s="515">
        <f t="shared" si="1"/>
        <v>40.541802895843063</v>
      </c>
      <c r="G18" s="515">
        <f t="shared" si="1"/>
        <v>1.4479215319943952</v>
      </c>
      <c r="H18" s="515">
        <f t="shared" si="1"/>
        <v>27.04343764595983</v>
      </c>
      <c r="I18" s="515">
        <f t="shared" si="1"/>
        <v>20.597851471275106</v>
      </c>
      <c r="J18" s="515">
        <f>SUM(B18:I18)</f>
        <v>100</v>
      </c>
      <c r="K18" s="1215" t="s">
        <v>185</v>
      </c>
      <c r="L18" s="1216"/>
    </row>
    <row r="27" spans="1:12">
      <c r="A27" s="1" t="s">
        <v>203</v>
      </c>
      <c r="B27" s="1" t="s">
        <v>218</v>
      </c>
      <c r="C27" s="1" t="s">
        <v>217</v>
      </c>
    </row>
    <row r="28" spans="1:12">
      <c r="A28" s="1" t="s">
        <v>216</v>
      </c>
      <c r="B28" s="1">
        <f>J9</f>
        <v>9</v>
      </c>
      <c r="C28" s="94">
        <f>B17</f>
        <v>5</v>
      </c>
    </row>
    <row r="29" spans="1:12">
      <c r="A29" s="1" t="s">
        <v>215</v>
      </c>
      <c r="B29" s="1">
        <f t="shared" ref="B29:B34" si="2">J10</f>
        <v>17</v>
      </c>
      <c r="C29" s="1">
        <f>C17</f>
        <v>16</v>
      </c>
    </row>
    <row r="30" spans="1:12">
      <c r="A30" s="1" t="s">
        <v>214</v>
      </c>
      <c r="B30" s="1">
        <f t="shared" si="2"/>
        <v>117</v>
      </c>
      <c r="C30" s="1">
        <f>D17</f>
        <v>56</v>
      </c>
    </row>
    <row r="31" spans="1:12">
      <c r="A31" s="1" t="s">
        <v>213</v>
      </c>
      <c r="B31" s="1">
        <f t="shared" si="2"/>
        <v>200</v>
      </c>
      <c r="C31" s="1">
        <f>E17</f>
        <v>145</v>
      </c>
    </row>
    <row r="32" spans="1:12">
      <c r="A32" s="1" t="s">
        <v>212</v>
      </c>
      <c r="B32" s="1">
        <f t="shared" si="2"/>
        <v>677</v>
      </c>
      <c r="C32" s="1">
        <f>F17</f>
        <v>868</v>
      </c>
    </row>
    <row r="33" spans="1:3" ht="25.5">
      <c r="A33" s="12" t="s">
        <v>545</v>
      </c>
      <c r="B33" s="1">
        <f t="shared" si="2"/>
        <v>59</v>
      </c>
      <c r="C33" s="1">
        <f>G17</f>
        <v>31</v>
      </c>
    </row>
    <row r="34" spans="1:3">
      <c r="A34" s="1" t="s">
        <v>211</v>
      </c>
      <c r="B34" s="1">
        <f t="shared" si="2"/>
        <v>699</v>
      </c>
      <c r="C34" s="1">
        <f>H17</f>
        <v>579</v>
      </c>
    </row>
    <row r="35" spans="1:3">
      <c r="A35" s="1" t="s">
        <v>210</v>
      </c>
      <c r="B35" s="1">
        <f>J16</f>
        <v>363</v>
      </c>
      <c r="C35" s="1">
        <f>I17</f>
        <v>441</v>
      </c>
    </row>
    <row r="36" spans="1:3">
      <c r="B36" s="1">
        <f>SUM(B28:B35)</f>
        <v>2141</v>
      </c>
      <c r="C36" s="1">
        <f>SUM(C28:C35)</f>
        <v>2141</v>
      </c>
    </row>
  </sheetData>
  <mergeCells count="9">
    <mergeCell ref="K18:L18"/>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0" orientation="landscape" r:id="rId1"/>
  <headerFooter alignWithMargins="0"/>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35:N35"/>
  <sheetViews>
    <sheetView rightToLeft="1" view="pageBreakPreview" zoomScaleNormal="100" zoomScaleSheetLayoutView="100" workbookViewId="0">
      <selection activeCell="F22" sqref="F22"/>
    </sheetView>
  </sheetViews>
  <sheetFormatPr defaultColWidth="9.140625" defaultRowHeight="12.75"/>
  <cols>
    <col min="1" max="16384" width="9.140625" style="1"/>
  </cols>
  <sheetData>
    <row r="35" spans="1:14" ht="15.75">
      <c r="A35" s="1070" t="s">
        <v>354</v>
      </c>
      <c r="B35" s="1070"/>
      <c r="C35" s="1070"/>
      <c r="D35" s="1070"/>
      <c r="E35" s="1070"/>
      <c r="F35" s="1070"/>
      <c r="G35" s="1070"/>
      <c r="H35" s="1070"/>
      <c r="I35" s="1070"/>
      <c r="J35" s="1070"/>
      <c r="K35" s="1070"/>
      <c r="L35" s="1070"/>
      <c r="M35" s="1070"/>
      <c r="N35" s="1070"/>
    </row>
  </sheetData>
  <mergeCells count="1">
    <mergeCell ref="A35:N35"/>
  </mergeCells>
  <printOptions horizontalCentered="1" verticalCentered="1"/>
  <pageMargins left="0" right="0" top="0" bottom="0" header="0" footer="0"/>
  <pageSetup paperSize="9" orientation="landscape"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L21"/>
  <sheetViews>
    <sheetView rightToLeft="1" view="pageBreakPreview" topLeftCell="A4" zoomScaleNormal="75" zoomScaleSheetLayoutView="100" workbookViewId="0">
      <selection activeCell="J24" sqref="J24"/>
    </sheetView>
  </sheetViews>
  <sheetFormatPr defaultColWidth="9.140625" defaultRowHeight="12.75"/>
  <cols>
    <col min="1" max="1" width="21.42578125" style="1" customWidth="1"/>
    <col min="2" max="4" width="10" style="1" customWidth="1"/>
    <col min="5" max="5" width="10.85546875" style="1" customWidth="1"/>
    <col min="6" max="9" width="10" style="1" customWidth="1"/>
    <col min="10" max="10" width="9.140625" style="1" customWidth="1"/>
    <col min="11" max="11" width="11.42578125" style="1" customWidth="1"/>
    <col min="12" max="12" width="19.7109375" style="1" customWidth="1"/>
    <col min="13" max="16384" width="9.140625" style="1"/>
  </cols>
  <sheetData>
    <row r="1" spans="1:12" s="2" customFormat="1" ht="24" customHeight="1">
      <c r="A1" s="1041" t="s">
        <v>357</v>
      </c>
      <c r="B1" s="1041"/>
      <c r="C1" s="1041"/>
      <c r="D1" s="1041"/>
      <c r="E1" s="1041"/>
      <c r="F1" s="1041"/>
      <c r="G1" s="1041"/>
      <c r="H1" s="1041"/>
      <c r="I1" s="1041"/>
      <c r="J1" s="1041"/>
      <c r="K1" s="1041"/>
      <c r="L1" s="1041"/>
    </row>
    <row r="2" spans="1:12" s="3" customFormat="1" ht="18">
      <c r="A2" s="1068" t="s">
        <v>356</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t="s">
        <v>167</v>
      </c>
      <c r="B4" s="1069"/>
      <c r="C4" s="1069"/>
      <c r="D4" s="1069"/>
      <c r="E4" s="1069"/>
      <c r="F4" s="1069"/>
      <c r="G4" s="1069"/>
      <c r="H4" s="1069"/>
      <c r="I4" s="1069"/>
      <c r="J4" s="1069"/>
      <c r="K4" s="1069"/>
      <c r="L4" s="1069"/>
    </row>
    <row r="5" spans="1:12" s="2" customFormat="1" ht="15.75">
      <c r="A5" s="362"/>
      <c r="B5" s="362"/>
      <c r="C5" s="362"/>
      <c r="D5" s="362"/>
      <c r="E5" s="362"/>
      <c r="F5" s="362"/>
      <c r="G5" s="362"/>
      <c r="H5" s="362"/>
      <c r="I5" s="362"/>
      <c r="J5" s="362"/>
      <c r="K5" s="362"/>
      <c r="L5" s="362"/>
    </row>
    <row r="6" spans="1:12" ht="15.75">
      <c r="A6" s="374" t="s">
        <v>375</v>
      </c>
      <c r="B6" s="378"/>
      <c r="C6" s="378"/>
      <c r="D6" s="378"/>
      <c r="E6" s="378"/>
      <c r="F6" s="378"/>
      <c r="G6" s="378"/>
      <c r="H6" s="378"/>
      <c r="I6" s="378"/>
      <c r="J6" s="378"/>
      <c r="K6" s="378"/>
      <c r="L6" s="376" t="s">
        <v>374</v>
      </c>
    </row>
    <row r="7" spans="1:12" ht="30.75" customHeight="1" thickBot="1">
      <c r="A7" s="1131" t="s">
        <v>308</v>
      </c>
      <c r="B7" s="1145" t="s">
        <v>202</v>
      </c>
      <c r="C7" s="1145"/>
      <c r="D7" s="1145"/>
      <c r="E7" s="1145"/>
      <c r="F7" s="1145"/>
      <c r="G7" s="1145"/>
      <c r="H7" s="1145"/>
      <c r="I7" s="1145"/>
      <c r="J7" s="1145"/>
      <c r="K7" s="1146" t="s">
        <v>607</v>
      </c>
      <c r="L7" s="1138" t="s">
        <v>355</v>
      </c>
    </row>
    <row r="8" spans="1:12" ht="60.75" customHeight="1">
      <c r="A8" s="1140"/>
      <c r="B8" s="160" t="s">
        <v>615</v>
      </c>
      <c r="C8" s="160" t="s">
        <v>649</v>
      </c>
      <c r="D8" s="160" t="s">
        <v>729</v>
      </c>
      <c r="E8" s="160" t="s">
        <v>613</v>
      </c>
      <c r="F8" s="160" t="s">
        <v>612</v>
      </c>
      <c r="G8" s="160" t="s">
        <v>611</v>
      </c>
      <c r="H8" s="160" t="s">
        <v>610</v>
      </c>
      <c r="I8" s="160" t="s">
        <v>616</v>
      </c>
      <c r="J8" s="329" t="s">
        <v>609</v>
      </c>
      <c r="K8" s="1147"/>
      <c r="L8" s="1141"/>
    </row>
    <row r="9" spans="1:12" ht="16.5" thickBot="1">
      <c r="A9" s="810">
        <v>-20</v>
      </c>
      <c r="B9" s="109">
        <v>0</v>
      </c>
      <c r="C9" s="75">
        <v>0</v>
      </c>
      <c r="D9" s="75">
        <v>7</v>
      </c>
      <c r="E9" s="75">
        <v>9</v>
      </c>
      <c r="F9" s="75">
        <v>16</v>
      </c>
      <c r="G9" s="75">
        <v>0</v>
      </c>
      <c r="H9" s="75">
        <v>0</v>
      </c>
      <c r="I9" s="75">
        <v>0</v>
      </c>
      <c r="J9" s="110">
        <v>32</v>
      </c>
      <c r="K9" s="7">
        <f t="shared" ref="K9:K19" si="0">J9/$J$20%</f>
        <v>2.6294165981922761</v>
      </c>
      <c r="L9" s="95">
        <v>-20</v>
      </c>
    </row>
    <row r="10" spans="1:12" ht="16.5" thickBot="1">
      <c r="A10" s="774" t="s">
        <v>1053</v>
      </c>
      <c r="B10" s="242">
        <v>0</v>
      </c>
      <c r="C10" s="231">
        <v>0</v>
      </c>
      <c r="D10" s="231">
        <v>7</v>
      </c>
      <c r="E10" s="231">
        <v>30</v>
      </c>
      <c r="F10" s="231">
        <v>172</v>
      </c>
      <c r="G10" s="231">
        <v>0</v>
      </c>
      <c r="H10" s="231">
        <v>40</v>
      </c>
      <c r="I10" s="231">
        <v>0</v>
      </c>
      <c r="J10" s="110">
        <v>249</v>
      </c>
      <c r="K10" s="8">
        <f t="shared" si="0"/>
        <v>20.460147904683648</v>
      </c>
      <c r="L10" s="854" t="s">
        <v>127</v>
      </c>
    </row>
    <row r="11" spans="1:12" ht="16.5" thickBot="1">
      <c r="A11" s="810" t="s">
        <v>1054</v>
      </c>
      <c r="B11" s="242">
        <v>1</v>
      </c>
      <c r="C11" s="231">
        <v>1</v>
      </c>
      <c r="D11" s="231">
        <v>8</v>
      </c>
      <c r="E11" s="231">
        <v>27</v>
      </c>
      <c r="F11" s="231">
        <v>171</v>
      </c>
      <c r="G11" s="231">
        <v>5</v>
      </c>
      <c r="H11" s="231">
        <v>73</v>
      </c>
      <c r="I11" s="231">
        <v>1</v>
      </c>
      <c r="J11" s="110">
        <v>287</v>
      </c>
      <c r="K11" s="7">
        <f t="shared" si="0"/>
        <v>23.582580115036976</v>
      </c>
      <c r="L11" s="95" t="s">
        <v>126</v>
      </c>
    </row>
    <row r="12" spans="1:12" ht="16.5" thickBot="1">
      <c r="A12" s="774" t="s">
        <v>1055</v>
      </c>
      <c r="B12" s="242">
        <v>0</v>
      </c>
      <c r="C12" s="231">
        <v>3</v>
      </c>
      <c r="D12" s="231">
        <v>4</v>
      </c>
      <c r="E12" s="231">
        <v>16</v>
      </c>
      <c r="F12" s="231">
        <v>98</v>
      </c>
      <c r="G12" s="231">
        <v>3</v>
      </c>
      <c r="H12" s="231">
        <v>50</v>
      </c>
      <c r="I12" s="231">
        <v>9</v>
      </c>
      <c r="J12" s="110">
        <v>183</v>
      </c>
      <c r="K12" s="8">
        <f t="shared" si="0"/>
        <v>15.036976170912078</v>
      </c>
      <c r="L12" s="854" t="s">
        <v>125</v>
      </c>
    </row>
    <row r="13" spans="1:12" ht="16.5" thickBot="1">
      <c r="A13" s="810" t="s">
        <v>1056</v>
      </c>
      <c r="B13" s="242">
        <v>1</v>
      </c>
      <c r="C13" s="231">
        <v>0</v>
      </c>
      <c r="D13" s="231">
        <v>6</v>
      </c>
      <c r="E13" s="231">
        <v>16</v>
      </c>
      <c r="F13" s="231">
        <v>72</v>
      </c>
      <c r="G13" s="231">
        <v>3</v>
      </c>
      <c r="H13" s="231">
        <v>65</v>
      </c>
      <c r="I13" s="231">
        <v>6</v>
      </c>
      <c r="J13" s="110">
        <v>169</v>
      </c>
      <c r="K13" s="7">
        <f t="shared" si="0"/>
        <v>13.886606409202958</v>
      </c>
      <c r="L13" s="95" t="s">
        <v>124</v>
      </c>
    </row>
    <row r="14" spans="1:12" ht="16.5" thickBot="1">
      <c r="A14" s="774" t="s">
        <v>1057</v>
      </c>
      <c r="B14" s="242">
        <v>0</v>
      </c>
      <c r="C14" s="231">
        <v>2</v>
      </c>
      <c r="D14" s="231">
        <v>2</v>
      </c>
      <c r="E14" s="231">
        <v>6</v>
      </c>
      <c r="F14" s="231">
        <v>42</v>
      </c>
      <c r="G14" s="231">
        <v>1</v>
      </c>
      <c r="H14" s="231">
        <v>43</v>
      </c>
      <c r="I14" s="231">
        <v>11</v>
      </c>
      <c r="J14" s="110">
        <v>107</v>
      </c>
      <c r="K14" s="8">
        <f t="shared" si="0"/>
        <v>8.7921117502054233</v>
      </c>
      <c r="L14" s="854" t="s">
        <v>123</v>
      </c>
    </row>
    <row r="15" spans="1:12" ht="16.5" thickBot="1">
      <c r="A15" s="810" t="s">
        <v>1058</v>
      </c>
      <c r="B15" s="242">
        <v>3</v>
      </c>
      <c r="C15" s="231">
        <v>2</v>
      </c>
      <c r="D15" s="231">
        <v>0</v>
      </c>
      <c r="E15" s="231">
        <v>7</v>
      </c>
      <c r="F15" s="231">
        <v>20</v>
      </c>
      <c r="G15" s="231">
        <v>0</v>
      </c>
      <c r="H15" s="231">
        <v>29</v>
      </c>
      <c r="I15" s="231">
        <v>19</v>
      </c>
      <c r="J15" s="110">
        <v>80</v>
      </c>
      <c r="K15" s="7">
        <f t="shared" si="0"/>
        <v>6.5735414954806899</v>
      </c>
      <c r="L15" s="95" t="s">
        <v>122</v>
      </c>
    </row>
    <row r="16" spans="1:12" ht="16.5" thickBot="1">
      <c r="A16" s="774" t="s">
        <v>1059</v>
      </c>
      <c r="B16" s="242">
        <v>0</v>
      </c>
      <c r="C16" s="231">
        <v>1</v>
      </c>
      <c r="D16" s="231">
        <v>7</v>
      </c>
      <c r="E16" s="231">
        <v>1</v>
      </c>
      <c r="F16" s="231">
        <v>9</v>
      </c>
      <c r="G16" s="231">
        <v>1</v>
      </c>
      <c r="H16" s="231">
        <v>16</v>
      </c>
      <c r="I16" s="231">
        <v>28</v>
      </c>
      <c r="J16" s="110">
        <v>63</v>
      </c>
      <c r="K16" s="8">
        <f t="shared" si="0"/>
        <v>5.1766639276910436</v>
      </c>
      <c r="L16" s="854" t="s">
        <v>121</v>
      </c>
    </row>
    <row r="17" spans="1:12" ht="16.5" thickBot="1">
      <c r="A17" s="810" t="s">
        <v>1060</v>
      </c>
      <c r="B17" s="242">
        <v>0</v>
      </c>
      <c r="C17" s="231">
        <v>3</v>
      </c>
      <c r="D17" s="231">
        <v>1</v>
      </c>
      <c r="E17" s="231">
        <v>2</v>
      </c>
      <c r="F17" s="231">
        <v>4</v>
      </c>
      <c r="G17" s="231">
        <v>0</v>
      </c>
      <c r="H17" s="231">
        <v>3</v>
      </c>
      <c r="I17" s="231">
        <v>16</v>
      </c>
      <c r="J17" s="110">
        <v>29</v>
      </c>
      <c r="K17" s="7">
        <f t="shared" si="0"/>
        <v>2.3829087921117504</v>
      </c>
      <c r="L17" s="95" t="s">
        <v>120</v>
      </c>
    </row>
    <row r="18" spans="1:12" ht="16.5" thickBot="1">
      <c r="A18" s="774" t="s">
        <v>132</v>
      </c>
      <c r="B18" s="242">
        <v>0</v>
      </c>
      <c r="C18" s="231">
        <v>1</v>
      </c>
      <c r="D18" s="231">
        <v>2</v>
      </c>
      <c r="E18" s="231">
        <v>0</v>
      </c>
      <c r="F18" s="231">
        <v>2</v>
      </c>
      <c r="G18" s="231">
        <v>0</v>
      </c>
      <c r="H18" s="231">
        <v>1</v>
      </c>
      <c r="I18" s="231">
        <v>12</v>
      </c>
      <c r="J18" s="110">
        <v>18</v>
      </c>
      <c r="K18" s="8">
        <f t="shared" si="0"/>
        <v>1.4790468364831553</v>
      </c>
      <c r="L18" s="854" t="s">
        <v>1065</v>
      </c>
    </row>
    <row r="19" spans="1:12" ht="16.5" thickBot="1">
      <c r="A19" s="848" t="s">
        <v>14</v>
      </c>
      <c r="B19" s="243">
        <v>0</v>
      </c>
      <c r="C19" s="232">
        <v>0</v>
      </c>
      <c r="D19" s="232">
        <v>0</v>
      </c>
      <c r="E19" s="232">
        <v>0</v>
      </c>
      <c r="F19" s="232">
        <v>0</v>
      </c>
      <c r="G19" s="232">
        <v>0</v>
      </c>
      <c r="H19" s="232">
        <v>0</v>
      </c>
      <c r="I19" s="232">
        <v>0</v>
      </c>
      <c r="J19" s="110">
        <v>0</v>
      </c>
      <c r="K19" s="79">
        <f t="shared" si="0"/>
        <v>0</v>
      </c>
      <c r="L19" s="850" t="s">
        <v>15</v>
      </c>
    </row>
    <row r="20" spans="1:12" ht="21" customHeight="1" thickBot="1">
      <c r="A20" s="772" t="s">
        <v>187</v>
      </c>
      <c r="B20" s="609">
        <f>SUM(B7:B19)</f>
        <v>5</v>
      </c>
      <c r="C20" s="609">
        <f>SUM(C7:C19)</f>
        <v>13</v>
      </c>
      <c r="D20" s="609">
        <f>SUM(D7:D19)</f>
        <v>44</v>
      </c>
      <c r="E20" s="609">
        <f>SUM(E7:E19)</f>
        <v>114</v>
      </c>
      <c r="F20" s="609">
        <f>SUM(F7:F19)</f>
        <v>606</v>
      </c>
      <c r="G20" s="609">
        <f>SUBTOTAL(109,Table_Default__XLS_TAB_37_1[[#All],[PRE_UNIVERSITY_CNT]])</f>
        <v>13</v>
      </c>
      <c r="H20" s="609">
        <f>SUBTOTAL(109,Table_Default__XLS_TAB_37_1[[#All],[UNIV_ABOVE_CNT]])</f>
        <v>320</v>
      </c>
      <c r="I20" s="609">
        <f>SUBTOTAL(109,Table_Default__XLS_TAB_37_1[[#All],[NOT_STATED_CNT]])</f>
        <v>102</v>
      </c>
      <c r="J20" s="841">
        <f>SUBTOTAL(109,Table_Default__XLS_TAB_37_1[[#All],[TOTAL]])</f>
        <v>1217</v>
      </c>
      <c r="K20" s="307">
        <f>SUM(K7:K19)</f>
        <v>99.999999999999972</v>
      </c>
      <c r="L20" s="610" t="s">
        <v>17</v>
      </c>
    </row>
    <row r="21" spans="1:12" ht="21" customHeight="1">
      <c r="A21" s="855" t="s">
        <v>186</v>
      </c>
      <c r="B21" s="611">
        <f>B20/$J$20%</f>
        <v>0.41084634346754312</v>
      </c>
      <c r="C21" s="611">
        <f>C20/$J$20%</f>
        <v>1.0682004930156122</v>
      </c>
      <c r="D21" s="611">
        <f t="shared" ref="D21:I21" si="1">D20/$J$20%</f>
        <v>3.6154478225143798</v>
      </c>
      <c r="E21" s="611">
        <f t="shared" si="1"/>
        <v>9.3672966310599843</v>
      </c>
      <c r="F21" s="611">
        <f t="shared" si="1"/>
        <v>49.79457682826623</v>
      </c>
      <c r="G21" s="611">
        <f t="shared" si="1"/>
        <v>1.0682004930156122</v>
      </c>
      <c r="H21" s="611">
        <f t="shared" si="1"/>
        <v>26.29416598192276</v>
      </c>
      <c r="I21" s="611">
        <f t="shared" si="1"/>
        <v>8.3812654067378798</v>
      </c>
      <c r="J21" s="611">
        <f>SUM(B21:I21)</f>
        <v>100</v>
      </c>
      <c r="K21" s="1217" t="s">
        <v>185</v>
      </c>
      <c r="L21" s="1218"/>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L21"/>
  <sheetViews>
    <sheetView rightToLeft="1" view="pageBreakPreview" zoomScaleNormal="75" zoomScaleSheetLayoutView="100" workbookViewId="0">
      <selection activeCell="M21" sqref="M21"/>
    </sheetView>
  </sheetViews>
  <sheetFormatPr defaultColWidth="9.140625" defaultRowHeight="12.75"/>
  <cols>
    <col min="1" max="1" width="21.42578125" style="1" customWidth="1"/>
    <col min="2" max="4" width="10" style="1" customWidth="1"/>
    <col min="5" max="5" width="11" style="1" customWidth="1"/>
    <col min="6" max="9" width="10" style="1" customWidth="1"/>
    <col min="10" max="10" width="9.140625" style="1" customWidth="1"/>
    <col min="11" max="11" width="11.42578125" style="1" customWidth="1"/>
    <col min="12" max="12" width="19.7109375" style="1" customWidth="1"/>
    <col min="13" max="16384" width="9.140625" style="1"/>
  </cols>
  <sheetData>
    <row r="1" spans="1:12" s="2" customFormat="1" ht="24" customHeight="1">
      <c r="A1" s="1041" t="s">
        <v>357</v>
      </c>
      <c r="B1" s="1041"/>
      <c r="C1" s="1041"/>
      <c r="D1" s="1041"/>
      <c r="E1" s="1041"/>
      <c r="F1" s="1041"/>
      <c r="G1" s="1041"/>
      <c r="H1" s="1041"/>
      <c r="I1" s="1041"/>
      <c r="J1" s="1041"/>
      <c r="K1" s="1041"/>
      <c r="L1" s="1041"/>
    </row>
    <row r="2" spans="1:12" s="3" customFormat="1" ht="18">
      <c r="A2" s="1068" t="s">
        <v>356</v>
      </c>
      <c r="B2" s="1068"/>
      <c r="C2" s="1068"/>
      <c r="D2" s="1068"/>
      <c r="E2" s="1068"/>
      <c r="F2" s="1068"/>
      <c r="G2" s="1068"/>
      <c r="H2" s="1068"/>
      <c r="I2" s="1068"/>
      <c r="J2" s="1068"/>
      <c r="K2" s="1068"/>
      <c r="L2" s="1068"/>
    </row>
    <row r="3" spans="1:12" s="2" customFormat="1" ht="15.75">
      <c r="A3" s="1069">
        <v>2021</v>
      </c>
      <c r="B3" s="1069"/>
      <c r="C3" s="1069"/>
      <c r="D3" s="1069"/>
      <c r="E3" s="1069"/>
      <c r="F3" s="1069"/>
      <c r="G3" s="1069"/>
      <c r="H3" s="1069"/>
      <c r="I3" s="1069"/>
      <c r="J3" s="1069"/>
      <c r="K3" s="1069"/>
      <c r="L3" s="1069"/>
    </row>
    <row r="4" spans="1:12" s="2" customFormat="1" ht="15.75">
      <c r="A4" s="1069" t="s">
        <v>172</v>
      </c>
      <c r="B4" s="1069"/>
      <c r="C4" s="1069"/>
      <c r="D4" s="1069"/>
      <c r="E4" s="1069"/>
      <c r="F4" s="1069"/>
      <c r="G4" s="1069"/>
      <c r="H4" s="1069"/>
      <c r="I4" s="1069"/>
      <c r="J4" s="1069"/>
      <c r="K4" s="1069"/>
      <c r="L4" s="1069"/>
    </row>
    <row r="5" spans="1:12" s="2" customFormat="1" ht="15.75">
      <c r="A5" s="362"/>
      <c r="B5" s="362"/>
      <c r="C5" s="362"/>
      <c r="D5" s="362"/>
      <c r="E5" s="362"/>
      <c r="F5" s="362"/>
      <c r="G5" s="362"/>
      <c r="H5" s="362"/>
      <c r="I5" s="362"/>
      <c r="J5" s="362"/>
      <c r="K5" s="362"/>
      <c r="L5" s="362"/>
    </row>
    <row r="6" spans="1:12" ht="15.75">
      <c r="A6" s="374" t="s">
        <v>378</v>
      </c>
      <c r="B6" s="378"/>
      <c r="C6" s="378"/>
      <c r="D6" s="378"/>
      <c r="E6" s="378"/>
      <c r="F6" s="378"/>
      <c r="G6" s="378"/>
      <c r="H6" s="378"/>
      <c r="I6" s="378"/>
      <c r="J6" s="378"/>
      <c r="K6" s="378"/>
      <c r="L6" s="376" t="s">
        <v>377</v>
      </c>
    </row>
    <row r="7" spans="1:12" ht="30.75" customHeight="1" thickBot="1">
      <c r="A7" s="1131" t="s">
        <v>308</v>
      </c>
      <c r="B7" s="1145" t="s">
        <v>202</v>
      </c>
      <c r="C7" s="1145"/>
      <c r="D7" s="1145"/>
      <c r="E7" s="1145"/>
      <c r="F7" s="1145"/>
      <c r="G7" s="1145"/>
      <c r="H7" s="1145"/>
      <c r="I7" s="1145"/>
      <c r="J7" s="1145"/>
      <c r="K7" s="1146" t="s">
        <v>607</v>
      </c>
      <c r="L7" s="1138" t="s">
        <v>355</v>
      </c>
    </row>
    <row r="8" spans="1:12" ht="60.75" customHeight="1">
      <c r="A8" s="1132"/>
      <c r="B8" s="160" t="s">
        <v>615</v>
      </c>
      <c r="C8" s="160" t="s">
        <v>649</v>
      </c>
      <c r="D8" s="328" t="s">
        <v>730</v>
      </c>
      <c r="E8" s="160" t="s">
        <v>613</v>
      </c>
      <c r="F8" s="160" t="s">
        <v>612</v>
      </c>
      <c r="G8" s="160" t="s">
        <v>611</v>
      </c>
      <c r="H8" s="160" t="s">
        <v>610</v>
      </c>
      <c r="I8" s="160" t="s">
        <v>616</v>
      </c>
      <c r="J8" s="329" t="s">
        <v>609</v>
      </c>
      <c r="K8" s="1171"/>
      <c r="L8" s="1139"/>
    </row>
    <row r="9" spans="1:12" ht="16.5" thickBot="1">
      <c r="A9" s="856">
        <v>-20</v>
      </c>
      <c r="B9" s="246">
        <v>0</v>
      </c>
      <c r="C9" s="247">
        <v>0</v>
      </c>
      <c r="D9" s="247">
        <v>0</v>
      </c>
      <c r="E9" s="247">
        <v>3</v>
      </c>
      <c r="F9" s="247">
        <v>5</v>
      </c>
      <c r="G9" s="247">
        <v>0</v>
      </c>
      <c r="H9" s="247">
        <v>0</v>
      </c>
      <c r="I9" s="247">
        <v>1</v>
      </c>
      <c r="J9" s="248">
        <v>9</v>
      </c>
      <c r="K9" s="260">
        <f t="shared" ref="K9:K19" si="0">J9/$J$20%</f>
        <v>0.97402597402597402</v>
      </c>
      <c r="L9" s="857">
        <v>-20</v>
      </c>
    </row>
    <row r="10" spans="1:12" ht="16.5" thickBot="1">
      <c r="A10" s="774" t="s">
        <v>1053</v>
      </c>
      <c r="B10" s="242">
        <v>0</v>
      </c>
      <c r="C10" s="231">
        <v>0</v>
      </c>
      <c r="D10" s="231">
        <v>1</v>
      </c>
      <c r="E10" s="231">
        <v>10</v>
      </c>
      <c r="F10" s="231">
        <v>50</v>
      </c>
      <c r="G10" s="231">
        <v>0</v>
      </c>
      <c r="H10" s="231">
        <v>8</v>
      </c>
      <c r="I10" s="231">
        <v>9</v>
      </c>
      <c r="J10" s="248">
        <v>78</v>
      </c>
      <c r="K10" s="259">
        <f t="shared" si="0"/>
        <v>8.4415584415584419</v>
      </c>
      <c r="L10" s="854" t="s">
        <v>127</v>
      </c>
    </row>
    <row r="11" spans="1:12" ht="16.5" thickBot="1">
      <c r="A11" s="810" t="s">
        <v>1054</v>
      </c>
      <c r="B11" s="242">
        <v>0</v>
      </c>
      <c r="C11" s="231">
        <v>0</v>
      </c>
      <c r="D11" s="231">
        <v>4</v>
      </c>
      <c r="E11" s="231">
        <v>10</v>
      </c>
      <c r="F11" s="231">
        <v>57</v>
      </c>
      <c r="G11" s="231">
        <v>4</v>
      </c>
      <c r="H11" s="231">
        <v>55</v>
      </c>
      <c r="I11" s="231">
        <v>27</v>
      </c>
      <c r="J11" s="248">
        <v>157</v>
      </c>
      <c r="K11" s="258">
        <f t="shared" si="0"/>
        <v>16.99134199134199</v>
      </c>
      <c r="L11" s="95" t="s">
        <v>126</v>
      </c>
    </row>
    <row r="12" spans="1:12" ht="16.5" thickBot="1">
      <c r="A12" s="774" t="s">
        <v>1055</v>
      </c>
      <c r="B12" s="242">
        <v>0</v>
      </c>
      <c r="C12" s="231">
        <v>0</v>
      </c>
      <c r="D12" s="231">
        <v>3</v>
      </c>
      <c r="E12" s="231">
        <v>4</v>
      </c>
      <c r="F12" s="231">
        <v>52</v>
      </c>
      <c r="G12" s="231">
        <v>2</v>
      </c>
      <c r="H12" s="231">
        <v>61</v>
      </c>
      <c r="I12" s="231">
        <v>68</v>
      </c>
      <c r="J12" s="248">
        <v>190</v>
      </c>
      <c r="K12" s="259">
        <f t="shared" si="0"/>
        <v>20.562770562770563</v>
      </c>
      <c r="L12" s="854" t="s">
        <v>125</v>
      </c>
    </row>
    <row r="13" spans="1:12" ht="16.5" thickBot="1">
      <c r="A13" s="810" t="s">
        <v>1056</v>
      </c>
      <c r="B13" s="242">
        <v>0</v>
      </c>
      <c r="C13" s="231">
        <v>0</v>
      </c>
      <c r="D13" s="231">
        <v>1</v>
      </c>
      <c r="E13" s="231">
        <v>2</v>
      </c>
      <c r="F13" s="231">
        <v>41</v>
      </c>
      <c r="G13" s="231">
        <v>4</v>
      </c>
      <c r="H13" s="231">
        <v>68</v>
      </c>
      <c r="I13" s="231">
        <v>76</v>
      </c>
      <c r="J13" s="248">
        <v>192</v>
      </c>
      <c r="K13" s="258">
        <f t="shared" si="0"/>
        <v>20.779220779220779</v>
      </c>
      <c r="L13" s="95" t="s">
        <v>124</v>
      </c>
    </row>
    <row r="14" spans="1:12" ht="16.5" thickBot="1">
      <c r="A14" s="774" t="s">
        <v>1057</v>
      </c>
      <c r="B14" s="242">
        <v>0</v>
      </c>
      <c r="C14" s="231">
        <v>1</v>
      </c>
      <c r="D14" s="231">
        <v>1</v>
      </c>
      <c r="E14" s="231">
        <v>2</v>
      </c>
      <c r="F14" s="231">
        <v>30</v>
      </c>
      <c r="G14" s="231">
        <v>3</v>
      </c>
      <c r="H14" s="231">
        <v>37</v>
      </c>
      <c r="I14" s="231">
        <v>56</v>
      </c>
      <c r="J14" s="248">
        <v>130</v>
      </c>
      <c r="K14" s="259">
        <f t="shared" si="0"/>
        <v>14.069264069264069</v>
      </c>
      <c r="L14" s="854" t="s">
        <v>123</v>
      </c>
    </row>
    <row r="15" spans="1:12" ht="16.5" thickBot="1">
      <c r="A15" s="810" t="s">
        <v>1058</v>
      </c>
      <c r="B15" s="242">
        <v>0</v>
      </c>
      <c r="C15" s="231">
        <v>1</v>
      </c>
      <c r="D15" s="231">
        <v>1</v>
      </c>
      <c r="E15" s="231">
        <v>0</v>
      </c>
      <c r="F15" s="231">
        <v>16</v>
      </c>
      <c r="G15" s="231">
        <v>3</v>
      </c>
      <c r="H15" s="231">
        <v>16</v>
      </c>
      <c r="I15" s="231">
        <v>39</v>
      </c>
      <c r="J15" s="248">
        <v>76</v>
      </c>
      <c r="K15" s="258">
        <f t="shared" si="0"/>
        <v>8.2251082251082241</v>
      </c>
      <c r="L15" s="95" t="s">
        <v>122</v>
      </c>
    </row>
    <row r="16" spans="1:12" ht="16.5" thickBot="1">
      <c r="A16" s="774" t="s">
        <v>1059</v>
      </c>
      <c r="B16" s="242">
        <v>0</v>
      </c>
      <c r="C16" s="231">
        <v>1</v>
      </c>
      <c r="D16" s="231">
        <v>1</v>
      </c>
      <c r="E16" s="231">
        <v>0</v>
      </c>
      <c r="F16" s="231">
        <v>6</v>
      </c>
      <c r="G16" s="231">
        <v>1</v>
      </c>
      <c r="H16" s="231">
        <v>9</v>
      </c>
      <c r="I16" s="231">
        <v>20</v>
      </c>
      <c r="J16" s="248">
        <v>38</v>
      </c>
      <c r="K16" s="259">
        <f t="shared" si="0"/>
        <v>4.1125541125541121</v>
      </c>
      <c r="L16" s="854" t="s">
        <v>121</v>
      </c>
    </row>
    <row r="17" spans="1:12" ht="16.5" thickBot="1">
      <c r="A17" s="810" t="s">
        <v>1060</v>
      </c>
      <c r="B17" s="242">
        <v>0</v>
      </c>
      <c r="C17" s="231">
        <v>0</v>
      </c>
      <c r="D17" s="231">
        <v>0</v>
      </c>
      <c r="E17" s="231">
        <v>0</v>
      </c>
      <c r="F17" s="231">
        <v>2</v>
      </c>
      <c r="G17" s="231">
        <v>1</v>
      </c>
      <c r="H17" s="231">
        <v>3</v>
      </c>
      <c r="I17" s="231">
        <v>7</v>
      </c>
      <c r="J17" s="248">
        <v>13</v>
      </c>
      <c r="K17" s="258">
        <f t="shared" si="0"/>
        <v>1.4069264069264069</v>
      </c>
      <c r="L17" s="95" t="s">
        <v>120</v>
      </c>
    </row>
    <row r="18" spans="1:12" ht="16.5" thickBot="1">
      <c r="A18" s="774" t="s">
        <v>132</v>
      </c>
      <c r="B18" s="242">
        <v>0</v>
      </c>
      <c r="C18" s="231">
        <v>0</v>
      </c>
      <c r="D18" s="231">
        <v>0</v>
      </c>
      <c r="E18" s="231">
        <v>0</v>
      </c>
      <c r="F18" s="231">
        <v>3</v>
      </c>
      <c r="G18" s="231">
        <v>0</v>
      </c>
      <c r="H18" s="231">
        <v>1</v>
      </c>
      <c r="I18" s="231">
        <v>3</v>
      </c>
      <c r="J18" s="248">
        <v>7</v>
      </c>
      <c r="K18" s="259">
        <f t="shared" si="0"/>
        <v>0.75757575757575757</v>
      </c>
      <c r="L18" s="854" t="s">
        <v>1065</v>
      </c>
    </row>
    <row r="19" spans="1:12" ht="15.75">
      <c r="A19" s="848" t="s">
        <v>14</v>
      </c>
      <c r="B19" s="250">
        <v>0</v>
      </c>
      <c r="C19" s="251">
        <v>0</v>
      </c>
      <c r="D19" s="251">
        <v>0</v>
      </c>
      <c r="E19" s="251">
        <v>0</v>
      </c>
      <c r="F19" s="251">
        <v>0</v>
      </c>
      <c r="G19" s="251">
        <v>0</v>
      </c>
      <c r="H19" s="251">
        <v>1</v>
      </c>
      <c r="I19" s="251">
        <v>33</v>
      </c>
      <c r="J19" s="443">
        <v>34</v>
      </c>
      <c r="K19" s="261">
        <f t="shared" si="0"/>
        <v>3.6796536796536796</v>
      </c>
      <c r="L19" s="858" t="s">
        <v>15</v>
      </c>
    </row>
    <row r="20" spans="1:12" ht="21" customHeight="1" thickBot="1">
      <c r="A20" s="772" t="s">
        <v>187</v>
      </c>
      <c r="B20" s="609">
        <f>SUBTOTAL(109,Table_Default__XLS_TAB_37_2[[#All],[ILLITERATE_CNT]])</f>
        <v>0</v>
      </c>
      <c r="C20" s="609">
        <f>SUBTOTAL(109,Table_Default__XLS_TAB_37_2[[#All],[READ_AND_WRITE_CNT]])</f>
        <v>3</v>
      </c>
      <c r="D20" s="609">
        <f>SUBTOTAL(109,Table_Default__XLS_TAB_37_2[[#All],[PRIMARY_CNT]])</f>
        <v>12</v>
      </c>
      <c r="E20" s="609">
        <f>SUBTOTAL(109,Table_Default__XLS_TAB_37_2[[#All],[PREPARATORY_CNT]])</f>
        <v>31</v>
      </c>
      <c r="F20" s="609">
        <f>SUBTOTAL(109,Table_Default__XLS_TAB_37_2[[#All],[SECONDARY_CNT]])</f>
        <v>262</v>
      </c>
      <c r="G20" s="609">
        <f>SUBTOTAL(109,Table_Default__XLS_TAB_37_2[[#All],[PRE_UNIVERSITY_CNT]])</f>
        <v>18</v>
      </c>
      <c r="H20" s="609">
        <f>SUBTOTAL(109,Table_Default__XLS_TAB_37_2[[#All],[UNIV_ABOVE_CNT]])</f>
        <v>259</v>
      </c>
      <c r="I20" s="609">
        <f>SUBTOTAL(109,Table_Default__XLS_TAB_37_2[[#All],[NOT_STATED_CNT]])</f>
        <v>339</v>
      </c>
      <c r="J20" s="612">
        <f>SUBTOTAL(109,Table_Default__XLS_TAB_37_2[[#All],[TOTAL]])</f>
        <v>924</v>
      </c>
      <c r="K20" s="307">
        <f t="shared" ref="K20" si="1">SUM(K7:K19)</f>
        <v>99.999999999999986</v>
      </c>
      <c r="L20" s="610" t="s">
        <v>17</v>
      </c>
    </row>
    <row r="21" spans="1:12" ht="21" customHeight="1">
      <c r="A21" s="855" t="s">
        <v>186</v>
      </c>
      <c r="B21" s="611">
        <f t="shared" ref="B21:I21" si="2">B20/$J$20%</f>
        <v>0</v>
      </c>
      <c r="C21" s="611">
        <f t="shared" si="2"/>
        <v>0.32467532467532467</v>
      </c>
      <c r="D21" s="611">
        <f t="shared" si="2"/>
        <v>1.2987012987012987</v>
      </c>
      <c r="E21" s="611">
        <f t="shared" si="2"/>
        <v>3.3549783549783547</v>
      </c>
      <c r="F21" s="611">
        <f t="shared" si="2"/>
        <v>28.354978354978353</v>
      </c>
      <c r="G21" s="611">
        <f t="shared" si="2"/>
        <v>1.948051948051948</v>
      </c>
      <c r="H21" s="611">
        <f t="shared" si="2"/>
        <v>28.030303030303031</v>
      </c>
      <c r="I21" s="611">
        <f t="shared" si="2"/>
        <v>36.688311688311686</v>
      </c>
      <c r="J21" s="611">
        <f>SUM(B21:I21)</f>
        <v>100</v>
      </c>
      <c r="K21" s="1217" t="s">
        <v>185</v>
      </c>
      <c r="L21" s="1218"/>
    </row>
  </sheetData>
  <mergeCells count="9">
    <mergeCell ref="K21:L21"/>
    <mergeCell ref="L7:L8"/>
    <mergeCell ref="A1:L1"/>
    <mergeCell ref="A2:L2"/>
    <mergeCell ref="A3:L3"/>
    <mergeCell ref="A4:L4"/>
    <mergeCell ref="A7:A8"/>
    <mergeCell ref="B7:J7"/>
    <mergeCell ref="K7:K8"/>
  </mergeCells>
  <printOptions horizontalCentered="1" verticalCentered="1"/>
  <pageMargins left="0" right="0" top="0" bottom="0" header="0" footer="0"/>
  <pageSetup paperSize="9" scale="92" orientation="landscape" r:id="rId1"/>
  <headerFooter alignWithMargins="0"/>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Vital Statistics Annual Bulletin Marriage and Divorce 2021
</EnglishTitle>
    <PublishingRollupImage xmlns="http://schemas.microsoft.com/sharepoint/v3" xsi:nil="true"/>
    <TaxCatchAll xmlns="b1657202-86a7-46c3-ba71-02bb0da5a392">
      <Value>643</Value>
      <Value>179</Value>
      <Value>178</Value>
      <Value>672</Value>
    </TaxCatchAll>
    <DocType xmlns="b1657202-86a7-46c3-ba71-02bb0da5a392">
      <Value>Report</Value>
    </DocType>
    <DocumentDescription xmlns="b1657202-86a7-46c3-ba71-02bb0da5a392">النشرة السنوية للإحصاءات الحيوية الزواج والطلاق 2021 </DocumentDescription>
    <DocPeriodicity xmlns="423524d6-f9d7-4b47-aadf-7b8f6888b7b0">Annual</DocPeriodicity>
    <DocumentDescription0 xmlns="423524d6-f9d7-4b47-aadf-7b8f6888b7b0">Vital Statistics Annual Bulletin Marriage and Divorce 2021</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MarriageAndDivorce</TermName>
          <TermId xmlns="http://schemas.microsoft.com/office/infopath/2007/PartnerControls">46289afc-4cea-4a0a-8e39-e0f5cf21084a</TermId>
        </TermInfo>
        <TermInfo xmlns="http://schemas.microsoft.com/office/infopath/2007/PartnerControls">
          <TermName xmlns="http://schemas.microsoft.com/office/infopath/2007/PartnerControls">PSA</TermName>
          <TermId xmlns="http://schemas.microsoft.com/office/infopath/2007/PartnerControls">0e57c6e0-7d64-49c5-8339-fa33dddca9a5</TermId>
        </TermInfo>
        <TermInfo xmlns="http://schemas.microsoft.com/office/infopath/2007/PartnerControls">
          <TermName xmlns="http://schemas.microsoft.com/office/infopath/2007/PartnerControls">Planning and Statistics Authority</TermName>
          <TermId xmlns="http://schemas.microsoft.com/office/infopath/2007/PartnerControls">e65649f4-24d1-441c-884c-448bd6b7a8f9</TermId>
        </TermInfo>
        <TermInfo xmlns="http://schemas.microsoft.com/office/infopath/2007/PartnerControls">
          <TermName xmlns="http://schemas.microsoft.com/office/infopath/2007/PartnerControls">Qatar</TermName>
          <TermId xmlns="http://schemas.microsoft.com/office/infopath/2007/PartnerControls">f05dbc2b-1feb-4985-afc3-58e9ce18885a</TermId>
        </TermInfo>
      </Terms>
    </TaxKeywordTaxHTField>
    <Year xmlns="b1657202-86a7-46c3-ba71-02bb0da5a392">2021</Year>
    <PublishingStartDate xmlns="http://schemas.microsoft.com/sharepoint/v3">2022-06-18T21:00:00+00:00</PublishingStartDate>
    <Visible xmlns="b1657202-86a7-46c3-ba71-02bb0da5a392">true</Visible>
    <ArabicTitle xmlns="b1657202-86a7-46c3-ba71-02bb0da5a392">النشرة السنوية للإحصاءات الحيوية الزواج والطلاق 2021 </ArabicTitle>
  </documentManagement>
</p:properties>
</file>

<file path=customXml/itemProps1.xml><?xml version="1.0" encoding="utf-8"?>
<ds:datastoreItem xmlns:ds="http://schemas.openxmlformats.org/officeDocument/2006/customXml" ds:itemID="{A0F1C43D-DC80-434C-9B45-C1AEB2ECF041}"/>
</file>

<file path=customXml/itemProps2.xml><?xml version="1.0" encoding="utf-8"?>
<ds:datastoreItem xmlns:ds="http://schemas.openxmlformats.org/officeDocument/2006/customXml" ds:itemID="{5F03DEE4-D557-48BA-BB8D-8F34D6379C45}"/>
</file>

<file path=customXml/itemProps3.xml><?xml version="1.0" encoding="utf-8"?>
<ds:datastoreItem xmlns:ds="http://schemas.openxmlformats.org/officeDocument/2006/customXml" ds:itemID="{7694FA78-1BB2-464F-A5DB-163FC2FC24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127</vt:i4>
      </vt:variant>
      <vt:variant>
        <vt:lpstr>Named Ranges</vt:lpstr>
      </vt:variant>
      <vt:variant>
        <vt:i4>122</vt:i4>
      </vt:variant>
    </vt:vector>
  </HeadingPairs>
  <TitlesOfParts>
    <vt:vector size="249" baseType="lpstr">
      <vt:lpstr>Sheet1</vt:lpstr>
      <vt:lpstr>Cover</vt:lpstr>
      <vt:lpstr>Intr.</vt:lpstr>
      <vt:lpstr>Cont.</vt:lpstr>
      <vt:lpstr>ConT.GR</vt:lpstr>
      <vt:lpstr>-</vt:lpstr>
      <vt:lpstr>Pref.</vt:lpstr>
      <vt:lpstr>Def.</vt:lpstr>
      <vt:lpstr>المؤشرات</vt:lpstr>
      <vt:lpstr>FIRST</vt:lpstr>
      <vt:lpstr>1</vt:lpstr>
      <vt:lpstr>GR-1</vt:lpstr>
      <vt:lpstr>2</vt:lpstr>
      <vt:lpstr>3</vt:lpstr>
      <vt:lpstr>GR-2</vt:lpstr>
      <vt:lpstr>4</vt:lpstr>
      <vt:lpstr>GR-3</vt:lpstr>
      <vt:lpstr>5</vt:lpstr>
      <vt:lpstr>GR-4</vt:lpstr>
      <vt:lpstr>6</vt:lpstr>
      <vt:lpstr>GR-5</vt:lpstr>
      <vt:lpstr>7</vt:lpstr>
      <vt:lpstr>8</vt:lpstr>
      <vt:lpstr>GR-6</vt:lpstr>
      <vt:lpstr>9</vt:lpstr>
      <vt:lpstr>10</vt:lpstr>
      <vt:lpstr>11-1</vt:lpstr>
      <vt:lpstr>11-2</vt:lpstr>
      <vt:lpstr>11-3</vt:lpstr>
      <vt:lpstr>12-1</vt:lpstr>
      <vt:lpstr>12-2</vt:lpstr>
      <vt:lpstr>12-3</vt:lpstr>
      <vt:lpstr>13-1</vt:lpstr>
      <vt:lpstr>13-2</vt:lpstr>
      <vt:lpstr>13-3</vt:lpstr>
      <vt:lpstr>14-1</vt:lpstr>
      <vt:lpstr>14-2</vt:lpstr>
      <vt:lpstr>14-3</vt:lpstr>
      <vt:lpstr>15-1</vt:lpstr>
      <vt:lpstr>15-2</vt:lpstr>
      <vt:lpstr>15-3</vt:lpstr>
      <vt:lpstr>16-1</vt:lpstr>
      <vt:lpstr>16-2</vt:lpstr>
      <vt:lpstr>16-3</vt:lpstr>
      <vt:lpstr>GR-7</vt:lpstr>
      <vt:lpstr>17-1</vt:lpstr>
      <vt:lpstr>17-2</vt:lpstr>
      <vt:lpstr>17-3</vt:lpstr>
      <vt:lpstr>GR-8 </vt:lpstr>
      <vt:lpstr>18-1</vt:lpstr>
      <vt:lpstr>18-2</vt:lpstr>
      <vt:lpstr>18-3</vt:lpstr>
      <vt:lpstr>19</vt:lpstr>
      <vt:lpstr>20</vt:lpstr>
      <vt:lpstr>GR9</vt:lpstr>
      <vt:lpstr>SECOND</vt:lpstr>
      <vt:lpstr>21</vt:lpstr>
      <vt:lpstr>GR-10</vt:lpstr>
      <vt:lpstr>22</vt:lpstr>
      <vt:lpstr>GR11</vt:lpstr>
      <vt:lpstr>23</vt:lpstr>
      <vt:lpstr>GR12</vt:lpstr>
      <vt:lpstr>24</vt:lpstr>
      <vt:lpstr>GR13</vt:lpstr>
      <vt:lpstr>GR14</vt:lpstr>
      <vt:lpstr>25-1</vt:lpstr>
      <vt:lpstr>25-2</vt:lpstr>
      <vt:lpstr>25-3</vt:lpstr>
      <vt:lpstr>26-1</vt:lpstr>
      <vt:lpstr>26-2</vt:lpstr>
      <vt:lpstr>26-3</vt:lpstr>
      <vt:lpstr>27</vt:lpstr>
      <vt:lpstr>28.1</vt:lpstr>
      <vt:lpstr>28.2</vt:lpstr>
      <vt:lpstr>28.3</vt:lpstr>
      <vt:lpstr>29</vt:lpstr>
      <vt:lpstr>30.1</vt:lpstr>
      <vt:lpstr>30.2</vt:lpstr>
      <vt:lpstr>30.3</vt:lpstr>
      <vt:lpstr>31.1</vt:lpstr>
      <vt:lpstr>31.2</vt:lpstr>
      <vt:lpstr>31.3</vt:lpstr>
      <vt:lpstr>32.1</vt:lpstr>
      <vt:lpstr>32.2</vt:lpstr>
      <vt:lpstr>32.3</vt:lpstr>
      <vt:lpstr>33.1</vt:lpstr>
      <vt:lpstr>33.2</vt:lpstr>
      <vt:lpstr>33.3</vt:lpstr>
      <vt:lpstr>34</vt:lpstr>
      <vt:lpstr>35</vt:lpstr>
      <vt:lpstr>36</vt:lpstr>
      <vt:lpstr>GR15</vt:lpstr>
      <vt:lpstr>37</vt:lpstr>
      <vt:lpstr>38.1</vt:lpstr>
      <vt:lpstr>38.2</vt:lpstr>
      <vt:lpstr>38.3</vt:lpstr>
      <vt:lpstr>GR16</vt:lpstr>
      <vt:lpstr>39.1</vt:lpstr>
      <vt:lpstr>39.2</vt:lpstr>
      <vt:lpstr>39.3</vt:lpstr>
      <vt:lpstr>40.1</vt:lpstr>
      <vt:lpstr>40.2</vt:lpstr>
      <vt:lpstr>40.3</vt:lpstr>
      <vt:lpstr>GR17</vt:lpstr>
      <vt:lpstr>41.1</vt:lpstr>
      <vt:lpstr>GR18</vt:lpstr>
      <vt:lpstr>41.2</vt:lpstr>
      <vt:lpstr>GR19</vt:lpstr>
      <vt:lpstr>41.3</vt:lpstr>
      <vt:lpstr>GR20</vt:lpstr>
      <vt:lpstr>42-1</vt:lpstr>
      <vt:lpstr>GR21</vt:lpstr>
      <vt:lpstr>42-2</vt:lpstr>
      <vt:lpstr>GR22</vt:lpstr>
      <vt:lpstr>42-3</vt:lpstr>
      <vt:lpstr>GR23</vt:lpstr>
      <vt:lpstr>43-1</vt:lpstr>
      <vt:lpstr>43-2</vt:lpstr>
      <vt:lpstr>43-3</vt:lpstr>
      <vt:lpstr>44</vt:lpstr>
      <vt:lpstr>GR24</vt:lpstr>
      <vt:lpstr>45</vt:lpstr>
      <vt:lpstr>46</vt:lpstr>
      <vt:lpstr>47</vt:lpstr>
      <vt:lpstr>الملاحق</vt:lpstr>
      <vt:lpstr>الزواج Marriage</vt:lpstr>
      <vt:lpstr>الطلاق Divorces</vt:lpstr>
      <vt:lpstr>'-'!Print_Area</vt:lpstr>
      <vt:lpstr>'1'!Print_Area</vt:lpstr>
      <vt:lpstr>'10'!Print_Area</vt:lpstr>
      <vt:lpstr>'11-1'!Print_Area</vt:lpstr>
      <vt:lpstr>'11-2'!Print_Area</vt:lpstr>
      <vt:lpstr>'11-3'!Print_Area</vt:lpstr>
      <vt:lpstr>'12-1'!Print_Area</vt:lpstr>
      <vt:lpstr>'12-2'!Print_Area</vt:lpstr>
      <vt:lpstr>'12-3'!Print_Area</vt:lpstr>
      <vt:lpstr>'13-1'!Print_Area</vt:lpstr>
      <vt:lpstr>'13-2'!Print_Area</vt:lpstr>
      <vt:lpstr>'13-3'!Print_Area</vt:lpstr>
      <vt:lpstr>'14-1'!Print_Area</vt:lpstr>
      <vt:lpstr>'14-2'!Print_Area</vt:lpstr>
      <vt:lpstr>'14-3'!Print_Area</vt:lpstr>
      <vt:lpstr>'15-1'!Print_Area</vt:lpstr>
      <vt:lpstr>'15-2'!Print_Area</vt:lpstr>
      <vt:lpstr>'15-3'!Print_Area</vt:lpstr>
      <vt:lpstr>'16-1'!Print_Area</vt:lpstr>
      <vt:lpstr>'16-2'!Print_Area</vt:lpstr>
      <vt:lpstr>'16-3'!Print_Area</vt:lpstr>
      <vt:lpstr>'17-1'!Print_Area</vt:lpstr>
      <vt:lpstr>'17-2'!Print_Area</vt:lpstr>
      <vt:lpstr>'17-3'!Print_Area</vt:lpstr>
      <vt:lpstr>'18-1'!Print_Area</vt:lpstr>
      <vt:lpstr>'18-2'!Print_Area</vt:lpstr>
      <vt:lpstr>'18-3'!Print_Area</vt:lpstr>
      <vt:lpstr>'19'!Print_Area</vt:lpstr>
      <vt:lpstr>'2'!Print_Area</vt:lpstr>
      <vt:lpstr>'20'!Print_Area</vt:lpstr>
      <vt:lpstr>'22'!Print_Area</vt:lpstr>
      <vt:lpstr>'23'!Print_Area</vt:lpstr>
      <vt:lpstr>'24'!Print_Area</vt:lpstr>
      <vt:lpstr>'25-1'!Print_Area</vt:lpstr>
      <vt:lpstr>'25-2'!Print_Area</vt:lpstr>
      <vt:lpstr>'25-3'!Print_Area</vt:lpstr>
      <vt:lpstr>'26-1'!Print_Area</vt:lpstr>
      <vt:lpstr>'26-2'!Print_Area</vt:lpstr>
      <vt:lpstr>'26-3'!Print_Area</vt:lpstr>
      <vt:lpstr>'27'!Print_Area</vt:lpstr>
      <vt:lpstr>'28.1'!Print_Area</vt:lpstr>
      <vt:lpstr>'28.2'!Print_Area</vt:lpstr>
      <vt:lpstr>'28.3'!Print_Area</vt:lpstr>
      <vt:lpstr>'29'!Print_Area</vt:lpstr>
      <vt:lpstr>'3'!Print_Area</vt:lpstr>
      <vt:lpstr>'30.1'!Print_Area</vt:lpstr>
      <vt:lpstr>'30.2'!Print_Area</vt:lpstr>
      <vt:lpstr>'30.3'!Print_Area</vt:lpstr>
      <vt:lpstr>'31.1'!Print_Area</vt:lpstr>
      <vt:lpstr>'31.2'!Print_Area</vt:lpstr>
      <vt:lpstr>'31.3'!Print_Area</vt:lpstr>
      <vt:lpstr>'32.1'!Print_Area</vt:lpstr>
      <vt:lpstr>'32.2'!Print_Area</vt:lpstr>
      <vt:lpstr>'32.3'!Print_Area</vt:lpstr>
      <vt:lpstr>'33.1'!Print_Area</vt:lpstr>
      <vt:lpstr>'33.2'!Print_Area</vt:lpstr>
      <vt:lpstr>'33.3'!Print_Area</vt:lpstr>
      <vt:lpstr>'34'!Print_Area</vt:lpstr>
      <vt:lpstr>'35'!Print_Area</vt:lpstr>
      <vt:lpstr>'36'!Print_Area</vt:lpstr>
      <vt:lpstr>'37'!Print_Area</vt:lpstr>
      <vt:lpstr>'38.1'!Print_Area</vt:lpstr>
      <vt:lpstr>'38.2'!Print_Area</vt:lpstr>
      <vt:lpstr>'38.3'!Print_Area</vt:lpstr>
      <vt:lpstr>'39.1'!Print_Area</vt:lpstr>
      <vt:lpstr>'39.2'!Print_Area</vt:lpstr>
      <vt:lpstr>'39.3'!Print_Area</vt:lpstr>
      <vt:lpstr>'4'!Print_Area</vt:lpstr>
      <vt:lpstr>'40.1'!Print_Area</vt:lpstr>
      <vt:lpstr>'40.2'!Print_Area</vt:lpstr>
      <vt:lpstr>'40.3'!Print_Area</vt:lpstr>
      <vt:lpstr>'41.1'!Print_Area</vt:lpstr>
      <vt:lpstr>'41.2'!Print_Area</vt:lpstr>
      <vt:lpstr>'41.3'!Print_Area</vt:lpstr>
      <vt:lpstr>'42-1'!Print_Area</vt:lpstr>
      <vt:lpstr>'42-2'!Print_Area</vt:lpstr>
      <vt:lpstr>'42-3'!Print_Area</vt:lpstr>
      <vt:lpstr>'43-1'!Print_Area</vt:lpstr>
      <vt:lpstr>'43-2'!Print_Area</vt:lpstr>
      <vt:lpstr>'43-3'!Print_Area</vt:lpstr>
      <vt:lpstr>'44'!Print_Area</vt:lpstr>
      <vt:lpstr>'45'!Print_Area</vt:lpstr>
      <vt:lpstr>'46'!Print_Area</vt:lpstr>
      <vt:lpstr>'47'!Print_Area</vt:lpstr>
      <vt:lpstr>'5'!Print_Area</vt:lpstr>
      <vt:lpstr>'6'!Print_Area</vt:lpstr>
      <vt:lpstr>'7'!Print_Area</vt:lpstr>
      <vt:lpstr>'8'!Print_Area</vt:lpstr>
      <vt:lpstr>'9'!Print_Area</vt:lpstr>
      <vt:lpstr>Cont.!Print_Area</vt:lpstr>
      <vt:lpstr>ConT.GR!Print_Area</vt:lpstr>
      <vt:lpstr>Cover!Print_Area</vt:lpstr>
      <vt:lpstr>Def.!Print_Area</vt:lpstr>
      <vt:lpstr>'GR-1'!Print_Area</vt:lpstr>
      <vt:lpstr>'GR-10'!Print_Area</vt:lpstr>
      <vt:lpstr>'GR11'!Print_Area</vt:lpstr>
      <vt:lpstr>'GR12'!Print_Area</vt:lpstr>
      <vt:lpstr>'GR13'!Print_Area</vt:lpstr>
      <vt:lpstr>'GR14'!Print_Area</vt:lpstr>
      <vt:lpstr>'GR15'!Print_Area</vt:lpstr>
      <vt:lpstr>'GR16'!Print_Area</vt:lpstr>
      <vt:lpstr>'GR17'!Print_Area</vt:lpstr>
      <vt:lpstr>'GR18'!Print_Area</vt:lpstr>
      <vt:lpstr>'GR19'!Print_Area</vt:lpstr>
      <vt:lpstr>'GR-2'!Print_Area</vt:lpstr>
      <vt:lpstr>'GR20'!Print_Area</vt:lpstr>
      <vt:lpstr>'GR21'!Print_Area</vt:lpstr>
      <vt:lpstr>'GR22'!Print_Area</vt:lpstr>
      <vt:lpstr>'GR23'!Print_Area</vt:lpstr>
      <vt:lpstr>'GR24'!Print_Area</vt:lpstr>
      <vt:lpstr>'GR-3'!Print_Area</vt:lpstr>
      <vt:lpstr>'GR-4'!Print_Area</vt:lpstr>
      <vt:lpstr>'GR-5'!Print_Area</vt:lpstr>
      <vt:lpstr>'GR-6'!Print_Area</vt:lpstr>
      <vt:lpstr>'GR-7'!Print_Area</vt:lpstr>
      <vt:lpstr>'GR-8 '!Print_Area</vt:lpstr>
      <vt:lpstr>'GR9'!Print_Area</vt:lpstr>
      <vt:lpstr>'الزواج Marriage'!Print_Area</vt:lpstr>
      <vt:lpstr>'الطلاق Divorces'!Print_Area</vt:lpstr>
      <vt:lpstr>المؤشرات!Print_Area</vt:lpstr>
      <vt:lpstr>Cont.!Print_Titles</vt:lpstr>
      <vt:lpstr>ConT.GR!Print_Titles</vt:lpstr>
    </vt:vector>
  </TitlesOfParts>
  <Company>QSA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Vital Statistics Annual Bulletin Marriage and Divorce 2021</dc:title>
  <dc:creator>Amjad Ahmed Abdelwahab</dc:creator>
  <cp:keywords>Qatar; Planning and Statistics Authority; PSA; MarriageAndDivorce</cp:keywords>
  <cp:lastModifiedBy>Amjad Ahmed Abdelwahab</cp:lastModifiedBy>
  <cp:lastPrinted>2022-06-15T06:59:29Z</cp:lastPrinted>
  <dcterms:created xsi:type="dcterms:W3CDTF">2012-07-10T06:20:22Z</dcterms:created>
  <dcterms:modified xsi:type="dcterms:W3CDTF">2022-06-15T07:10:07Z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672;#MarriageAndDivorce|46289afc-4cea-4a0a-8e39-e0f5cf21084a;#643;#PSA|0e57c6e0-7d64-49c5-8339-fa33dddca9a5;#178;#Planning and Statistics Authority|e65649f4-24d1-441c-884c-448bd6b7a8f9;#179;#Qatar|f05dbc2b-1feb-4985-afc3-58e9ce18885a</vt:lpwstr>
  </property>
  <property fmtid="{D5CDD505-2E9C-101B-9397-08002B2CF9AE}" pid="4" name="CategoryDescription">
    <vt:lpwstr>Vital Statistics Annual Bulletin Marriage and Divorce 2021</vt:lpwstr>
  </property>
</Properties>
</file>